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☆0弘和産業\0000営業関係\0000_技術ノウハウ・質問・トラブル回答書\000最新EXCEL・WORD\"/>
    </mc:Choice>
  </mc:AlternateContent>
  <xr:revisionPtr revIDLastSave="0" documentId="13_ncr:1_{87EBEB84-A3BB-45CC-A60D-EEC469228529}" xr6:coauthVersionLast="47" xr6:coauthVersionMax="47" xr10:uidLastSave="{00000000-0000-0000-0000-000000000000}"/>
  <bookViews>
    <workbookView xWindow="2160" yWindow="825" windowWidth="21510" windowHeight="14790" xr2:uid="{2DB207EA-DA40-4588-ABD2-327860D594E6}"/>
  </bookViews>
  <sheets>
    <sheet name="数量表01" sheetId="3" r:id="rId1"/>
    <sheet name="見積依頼" sheetId="1" r:id="rId2"/>
  </sheets>
  <definedNames>
    <definedName name="_xlnm.Print_Area" localSheetId="1">見積依頼!$B$2:$O$44</definedName>
    <definedName name="_xlnm.Print_Area" localSheetId="0">数量表01!$B$2:$L$273,数量表01!$M$2:$Y$35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0" i="3" l="1"/>
  <c r="H679" i="3"/>
  <c r="H678" i="3"/>
  <c r="H677" i="3"/>
  <c r="H677" i="3" a="1"/>
  <c r="H676" i="3"/>
  <c r="H675" i="3"/>
  <c r="H674" i="3"/>
  <c r="H674" i="3" a="1"/>
  <c r="H673" i="3"/>
  <c r="H672" i="3" a="1"/>
  <c r="H672" i="3" s="1"/>
  <c r="H671" i="3"/>
  <c r="H670" i="3" a="1"/>
  <c r="H670" i="3" s="1"/>
  <c r="H669" i="3"/>
  <c r="H669" i="3" a="1"/>
  <c r="H668" i="3" a="1"/>
  <c r="H668" i="3" s="1"/>
  <c r="H667" i="3"/>
  <c r="H667" i="3" a="1"/>
  <c r="H666" i="3"/>
  <c r="H665" i="3"/>
  <c r="H664" i="3"/>
  <c r="H663" i="3"/>
  <c r="H663" i="3" a="1"/>
  <c r="H662" i="3" a="1"/>
  <c r="H662" i="3" s="1"/>
  <c r="H661" i="3"/>
  <c r="H660" i="3" a="1"/>
  <c r="H660" i="3" s="1"/>
  <c r="H659" i="3"/>
  <c r="H658" i="3"/>
  <c r="H658" i="3" a="1"/>
  <c r="H657" i="3" a="1"/>
  <c r="H657" i="3" s="1"/>
  <c r="H656" i="3"/>
  <c r="H655" i="3" a="1"/>
  <c r="H655" i="3" s="1"/>
  <c r="H654" i="3"/>
  <c r="H654" i="3" a="1"/>
  <c r="H653" i="3" a="1"/>
  <c r="H653" i="3" s="1"/>
  <c r="H651" i="3"/>
  <c r="H646" i="3"/>
  <c r="H645" i="3"/>
  <c r="H644" i="3"/>
  <c r="H643" i="3"/>
  <c r="H643" i="3" a="1"/>
  <c r="H642" i="3"/>
  <c r="H641" i="3"/>
  <c r="H640" i="3"/>
  <c r="H640" i="3" a="1"/>
  <c r="H639" i="3"/>
  <c r="H638" i="3" a="1"/>
  <c r="H638" i="3" s="1"/>
  <c r="H637" i="3"/>
  <c r="H636" i="3" a="1"/>
  <c r="H636" i="3" s="1"/>
  <c r="H635" i="3"/>
  <c r="H635" i="3" a="1"/>
  <c r="H634" i="3" a="1"/>
  <c r="H634" i="3" s="1"/>
  <c r="H633" i="3"/>
  <c r="H633" i="3" a="1"/>
  <c r="H632" i="3"/>
  <c r="H631" i="3"/>
  <c r="H630" i="3"/>
  <c r="H629" i="3" a="1"/>
  <c r="H629" i="3" s="1"/>
  <c r="H628" i="3" a="1"/>
  <c r="H628" i="3" s="1"/>
  <c r="H627" i="3"/>
  <c r="H626" i="3" a="1"/>
  <c r="H626" i="3" s="1"/>
  <c r="H625" i="3"/>
  <c r="H624" i="3" a="1"/>
  <c r="H624" i="3" s="1"/>
  <c r="H623" i="3" a="1"/>
  <c r="H623" i="3" s="1"/>
  <c r="H622" i="3"/>
  <c r="H621" i="3" a="1"/>
  <c r="H621" i="3" s="1"/>
  <c r="H620" i="3"/>
  <c r="H620" i="3" a="1"/>
  <c r="H619" i="3" a="1"/>
  <c r="H619" i="3" s="1"/>
  <c r="H617" i="3"/>
  <c r="H612" i="3"/>
  <c r="H611" i="3"/>
  <c r="H610" i="3"/>
  <c r="H609" i="3"/>
  <c r="H609" i="3" a="1"/>
  <c r="H608" i="3"/>
  <c r="H607" i="3"/>
  <c r="H606" i="3"/>
  <c r="H606" i="3" a="1"/>
  <c r="H605" i="3"/>
  <c r="H604" i="3" a="1"/>
  <c r="H604" i="3" s="1"/>
  <c r="H603" i="3"/>
  <c r="H602" i="3" a="1"/>
  <c r="H602" i="3" s="1"/>
  <c r="H601" i="3"/>
  <c r="H601" i="3" a="1"/>
  <c r="H600" i="3" a="1"/>
  <c r="H600" i="3" s="1"/>
  <c r="H599" i="3"/>
  <c r="H599" i="3" a="1"/>
  <c r="H598" i="3"/>
  <c r="H597" i="3"/>
  <c r="H596" i="3"/>
  <c r="H595" i="3"/>
  <c r="H595" i="3" a="1"/>
  <c r="H594" i="3" a="1"/>
  <c r="H594" i="3" s="1"/>
  <c r="H593" i="3"/>
  <c r="H592" i="3" a="1"/>
  <c r="H592" i="3" s="1"/>
  <c r="H591" i="3"/>
  <c r="H590" i="3"/>
  <c r="H590" i="3" a="1"/>
  <c r="H589" i="3" a="1"/>
  <c r="H589" i="3" s="1"/>
  <c r="H588" i="3"/>
  <c r="H587" i="3" a="1"/>
  <c r="H587" i="3" s="1"/>
  <c r="H586" i="3"/>
  <c r="H586" i="3" a="1"/>
  <c r="H585" i="3" a="1"/>
  <c r="H585" i="3" s="1"/>
  <c r="H583" i="3"/>
  <c r="H578" i="3"/>
  <c r="H577" i="3"/>
  <c r="H576" i="3"/>
  <c r="H575" i="3"/>
  <c r="H575" i="3" a="1"/>
  <c r="H574" i="3"/>
  <c r="H573" i="3"/>
  <c r="H572" i="3"/>
  <c r="H572" i="3" a="1"/>
  <c r="H571" i="3"/>
  <c r="H570" i="3" a="1"/>
  <c r="H570" i="3" s="1"/>
  <c r="H569" i="3"/>
  <c r="H568" i="3" a="1"/>
  <c r="H568" i="3" s="1"/>
  <c r="H567" i="3"/>
  <c r="H567" i="3" a="1"/>
  <c r="H566" i="3" a="1"/>
  <c r="H566" i="3" s="1"/>
  <c r="H565" i="3"/>
  <c r="H565" i="3" a="1"/>
  <c r="H564" i="3"/>
  <c r="H563" i="3"/>
  <c r="H562" i="3"/>
  <c r="H561" i="3"/>
  <c r="H561" i="3" a="1"/>
  <c r="H560" i="3" a="1"/>
  <c r="H560" i="3" s="1"/>
  <c r="H559" i="3"/>
  <c r="H558" i="3" a="1"/>
  <c r="H558" i="3" s="1"/>
  <c r="H557" i="3"/>
  <c r="H556" i="3"/>
  <c r="H556" i="3" a="1"/>
  <c r="H555" i="3" a="1"/>
  <c r="H555" i="3" s="1"/>
  <c r="H554" i="3"/>
  <c r="H553" i="3" a="1"/>
  <c r="H553" i="3" s="1"/>
  <c r="H552" i="3"/>
  <c r="H552" i="3" a="1"/>
  <c r="H551" i="3" a="1"/>
  <c r="H551" i="3" s="1"/>
  <c r="H549" i="3"/>
  <c r="H544" i="3"/>
  <c r="H543" i="3"/>
  <c r="H542" i="3"/>
  <c r="H541" i="3"/>
  <c r="H541" i="3" a="1"/>
  <c r="H540" i="3"/>
  <c r="H539" i="3"/>
  <c r="H538" i="3"/>
  <c r="H538" i="3" a="1"/>
  <c r="H537" i="3"/>
  <c r="H536" i="3" a="1"/>
  <c r="H536" i="3" s="1"/>
  <c r="H535" i="3"/>
  <c r="H534" i="3" a="1"/>
  <c r="H534" i="3" s="1"/>
  <c r="H533" i="3"/>
  <c r="H533" i="3" a="1"/>
  <c r="H532" i="3" a="1"/>
  <c r="H532" i="3" s="1"/>
  <c r="H531" i="3"/>
  <c r="H531" i="3" a="1"/>
  <c r="H530" i="3"/>
  <c r="H529" i="3"/>
  <c r="H528" i="3"/>
  <c r="H527" i="3"/>
  <c r="H527" i="3" a="1"/>
  <c r="H526" i="3" a="1"/>
  <c r="H526" i="3" s="1"/>
  <c r="H525" i="3"/>
  <c r="H524" i="3" a="1"/>
  <c r="H524" i="3" s="1"/>
  <c r="H523" i="3"/>
  <c r="H522" i="3"/>
  <c r="H522" i="3" a="1"/>
  <c r="H521" i="3" a="1"/>
  <c r="H521" i="3" s="1"/>
  <c r="H520" i="3"/>
  <c r="H519" i="3" a="1"/>
  <c r="H519" i="3" s="1"/>
  <c r="H518" i="3"/>
  <c r="H518" i="3" a="1"/>
  <c r="H517" i="3" a="1"/>
  <c r="H517" i="3" s="1"/>
  <c r="H515" i="3"/>
  <c r="H510" i="3"/>
  <c r="H509" i="3"/>
  <c r="H508" i="3"/>
  <c r="H507" i="3"/>
  <c r="H507" i="3" a="1"/>
  <c r="H506" i="3"/>
  <c r="H505" i="3"/>
  <c r="H504" i="3"/>
  <c r="H504" i="3" a="1"/>
  <c r="H503" i="3"/>
  <c r="H502" i="3" a="1"/>
  <c r="H502" i="3" s="1"/>
  <c r="H501" i="3"/>
  <c r="H500" i="3" a="1"/>
  <c r="H500" i="3" s="1"/>
  <c r="H499" i="3"/>
  <c r="H499" i="3" a="1"/>
  <c r="H498" i="3" a="1"/>
  <c r="H498" i="3" s="1"/>
  <c r="H497" i="3"/>
  <c r="H497" i="3" a="1"/>
  <c r="H496" i="3"/>
  <c r="H495" i="3"/>
  <c r="H494" i="3"/>
  <c r="H493" i="3"/>
  <c r="H493" i="3" a="1"/>
  <c r="H492" i="3" a="1"/>
  <c r="H492" i="3" s="1"/>
  <c r="H491" i="3"/>
  <c r="H490" i="3" a="1"/>
  <c r="H490" i="3" s="1"/>
  <c r="H489" i="3"/>
  <c r="H488" i="3"/>
  <c r="H488" i="3" a="1"/>
  <c r="H487" i="3" a="1"/>
  <c r="H487" i="3" s="1"/>
  <c r="H486" i="3"/>
  <c r="H485" i="3" a="1"/>
  <c r="H485" i="3" s="1"/>
  <c r="H484" i="3"/>
  <c r="H484" i="3" a="1"/>
  <c r="H483" i="3" a="1"/>
  <c r="H483" i="3" s="1"/>
  <c r="H481" i="3"/>
  <c r="H476" i="3"/>
  <c r="H475" i="3"/>
  <c r="H474" i="3"/>
  <c r="H473" i="3"/>
  <c r="H473" i="3" a="1"/>
  <c r="H472" i="3"/>
  <c r="H471" i="3"/>
  <c r="H470" i="3"/>
  <c r="H470" i="3" a="1"/>
  <c r="H469" i="3"/>
  <c r="H468" i="3" a="1"/>
  <c r="H468" i="3" s="1"/>
  <c r="H467" i="3"/>
  <c r="H466" i="3" a="1"/>
  <c r="H466" i="3" s="1"/>
  <c r="H465" i="3"/>
  <c r="H465" i="3" a="1"/>
  <c r="H464" i="3" a="1"/>
  <c r="H464" i="3" s="1"/>
  <c r="H463" i="3"/>
  <c r="H463" i="3" a="1"/>
  <c r="H462" i="3"/>
  <c r="H461" i="3"/>
  <c r="H460" i="3"/>
  <c r="H459" i="3"/>
  <c r="H459" i="3" a="1"/>
  <c r="H458" i="3" a="1"/>
  <c r="H458" i="3" s="1"/>
  <c r="H457" i="3"/>
  <c r="H456" i="3" a="1"/>
  <c r="H456" i="3" s="1"/>
  <c r="H455" i="3"/>
  <c r="H454" i="3"/>
  <c r="H454" i="3" a="1"/>
  <c r="H453" i="3" a="1"/>
  <c r="H453" i="3" s="1"/>
  <c r="H452" i="3"/>
  <c r="H451" i="3" a="1"/>
  <c r="H451" i="3" s="1"/>
  <c r="H450" i="3"/>
  <c r="H450" i="3" a="1"/>
  <c r="H449" i="3" a="1"/>
  <c r="H449" i="3" s="1"/>
  <c r="H447" i="3"/>
  <c r="H442" i="3"/>
  <c r="H441" i="3"/>
  <c r="H440" i="3"/>
  <c r="H439" i="3"/>
  <c r="H439" i="3" a="1"/>
  <c r="H438" i="3"/>
  <c r="H437" i="3"/>
  <c r="H436" i="3"/>
  <c r="H436" i="3" a="1"/>
  <c r="H435" i="3"/>
  <c r="H434" i="3" a="1"/>
  <c r="H434" i="3" s="1"/>
  <c r="H433" i="3"/>
  <c r="H432" i="3" a="1"/>
  <c r="H432" i="3" s="1"/>
  <c r="H431" i="3"/>
  <c r="H431" i="3" a="1"/>
  <c r="H430" i="3" a="1"/>
  <c r="H430" i="3" s="1"/>
  <c r="H429" i="3"/>
  <c r="H429" i="3" a="1"/>
  <c r="H428" i="3"/>
  <c r="H427" i="3"/>
  <c r="H426" i="3"/>
  <c r="H425" i="3"/>
  <c r="H425" i="3" a="1"/>
  <c r="H424" i="3" a="1"/>
  <c r="H424" i="3" s="1"/>
  <c r="H423" i="3"/>
  <c r="H422" i="3" a="1"/>
  <c r="H422" i="3" s="1"/>
  <c r="H421" i="3"/>
  <c r="H420" i="3"/>
  <c r="H420" i="3" a="1"/>
  <c r="H419" i="3" a="1"/>
  <c r="H419" i="3" s="1"/>
  <c r="H418" i="3"/>
  <c r="H417" i="3" a="1"/>
  <c r="H417" i="3" s="1"/>
  <c r="H416" i="3"/>
  <c r="H416" i="3" a="1"/>
  <c r="H415" i="3" a="1"/>
  <c r="H415" i="3" s="1"/>
  <c r="H413" i="3"/>
  <c r="H408" i="3"/>
  <c r="H407" i="3"/>
  <c r="H406" i="3"/>
  <c r="H405" i="3"/>
  <c r="H405" i="3" a="1"/>
  <c r="H404" i="3"/>
  <c r="H403" i="3"/>
  <c r="H402" i="3"/>
  <c r="H402" i="3" a="1"/>
  <c r="H401" i="3"/>
  <c r="H400" i="3" a="1"/>
  <c r="H400" i="3" s="1"/>
  <c r="H399" i="3"/>
  <c r="H398" i="3" a="1"/>
  <c r="H398" i="3" s="1"/>
  <c r="H397" i="3"/>
  <c r="H397" i="3" a="1"/>
  <c r="H396" i="3" a="1"/>
  <c r="H396" i="3" s="1"/>
  <c r="H395" i="3"/>
  <c r="H395" i="3" a="1"/>
  <c r="H394" i="3"/>
  <c r="H393" i="3"/>
  <c r="H392" i="3"/>
  <c r="H391" i="3"/>
  <c r="H391" i="3" a="1"/>
  <c r="H390" i="3" a="1"/>
  <c r="H390" i="3" s="1"/>
  <c r="H389" i="3"/>
  <c r="H388" i="3" a="1"/>
  <c r="H388" i="3" s="1"/>
  <c r="H387" i="3"/>
  <c r="H386" i="3"/>
  <c r="H386" i="3" a="1"/>
  <c r="H385" i="3" a="1"/>
  <c r="H385" i="3" s="1"/>
  <c r="H384" i="3"/>
  <c r="H383" i="3" a="1"/>
  <c r="H383" i="3" s="1"/>
  <c r="H382" i="3"/>
  <c r="H382" i="3" a="1"/>
  <c r="H381" i="3" a="1"/>
  <c r="H381" i="3" s="1"/>
  <c r="H379" i="3"/>
  <c r="H374" i="3"/>
  <c r="H373" i="3"/>
  <c r="H372" i="3"/>
  <c r="H371" i="3"/>
  <c r="H371" i="3" a="1"/>
  <c r="H370" i="3"/>
  <c r="H369" i="3"/>
  <c r="H368" i="3"/>
  <c r="H368" i="3" a="1"/>
  <c r="H367" i="3"/>
  <c r="H366" i="3" a="1"/>
  <c r="H366" i="3" s="1"/>
  <c r="H365" i="3"/>
  <c r="H364" i="3" a="1"/>
  <c r="H364" i="3" s="1"/>
  <c r="H363" i="3"/>
  <c r="H363" i="3" a="1"/>
  <c r="H362" i="3" a="1"/>
  <c r="H362" i="3" s="1"/>
  <c r="H361" i="3"/>
  <c r="H361" i="3" a="1"/>
  <c r="H360" i="3"/>
  <c r="H359" i="3"/>
  <c r="H358" i="3"/>
  <c r="H357" i="3" a="1"/>
  <c r="H357" i="3" s="1"/>
  <c r="H356" i="3" a="1"/>
  <c r="H356" i="3" s="1"/>
  <c r="H355" i="3"/>
  <c r="H354" i="3" a="1"/>
  <c r="H354" i="3" s="1"/>
  <c r="H353" i="3"/>
  <c r="H352" i="3" a="1"/>
  <c r="H352" i="3" s="1"/>
  <c r="H351" i="3" a="1"/>
  <c r="H351" i="3" s="1"/>
  <c r="H350" i="3"/>
  <c r="H349" i="3" a="1"/>
  <c r="H349" i="3" s="1"/>
  <c r="H348" i="3"/>
  <c r="H348" i="3" a="1"/>
  <c r="H347" i="3" a="1"/>
  <c r="H347" i="3" s="1"/>
  <c r="H345" i="3"/>
  <c r="H340" i="3"/>
  <c r="H339" i="3"/>
  <c r="H338" i="3"/>
  <c r="H337" i="3"/>
  <c r="H337" i="3" a="1"/>
  <c r="H336" i="3"/>
  <c r="H335" i="3"/>
  <c r="H334" i="3"/>
  <c r="H334" i="3" a="1"/>
  <c r="H333" i="3"/>
  <c r="H332" i="3" a="1"/>
  <c r="H332" i="3" s="1"/>
  <c r="H331" i="3"/>
  <c r="H330" i="3" a="1"/>
  <c r="H330" i="3" s="1"/>
  <c r="H329" i="3"/>
  <c r="H329" i="3" a="1"/>
  <c r="H328" i="3" a="1"/>
  <c r="H328" i="3" s="1"/>
  <c r="H327" i="3"/>
  <c r="H327" i="3" a="1"/>
  <c r="H326" i="3"/>
  <c r="H325" i="3"/>
  <c r="H324" i="3"/>
  <c r="H323" i="3"/>
  <c r="H323" i="3" a="1"/>
  <c r="H322" i="3" a="1"/>
  <c r="H322" i="3" s="1"/>
  <c r="H321" i="3"/>
  <c r="H320" i="3" a="1"/>
  <c r="H320" i="3" s="1"/>
  <c r="H319" i="3"/>
  <c r="H318" i="3"/>
  <c r="H318" i="3" a="1"/>
  <c r="H317" i="3" a="1"/>
  <c r="H317" i="3" s="1"/>
  <c r="H316" i="3"/>
  <c r="H315" i="3" a="1"/>
  <c r="H315" i="3" s="1"/>
  <c r="H314" i="3"/>
  <c r="H314" i="3" a="1"/>
  <c r="H313" i="3" a="1"/>
  <c r="H313" i="3" s="1"/>
  <c r="H311" i="3"/>
  <c r="H306" i="3"/>
  <c r="H305" i="3"/>
  <c r="H304" i="3"/>
  <c r="H303" i="3"/>
  <c r="H303" i="3" a="1"/>
  <c r="H302" i="3"/>
  <c r="H301" i="3"/>
  <c r="H300" i="3"/>
  <c r="H300" i="3" a="1"/>
  <c r="H299" i="3"/>
  <c r="H298" i="3" a="1"/>
  <c r="H298" i="3" s="1"/>
  <c r="H297" i="3"/>
  <c r="H296" i="3"/>
  <c r="H296" i="3" a="1"/>
  <c r="H295" i="3"/>
  <c r="H295" i="3" a="1"/>
  <c r="H294" i="3" a="1"/>
  <c r="H294" i="3" s="1"/>
  <c r="H293" i="3"/>
  <c r="H293" i="3" a="1"/>
  <c r="H292" i="3"/>
  <c r="H291" i="3"/>
  <c r="H290" i="3"/>
  <c r="H289" i="3"/>
  <c r="H289" i="3" a="1"/>
  <c r="H288" i="3" a="1"/>
  <c r="H288" i="3" s="1"/>
  <c r="H287" i="3"/>
  <c r="H286" i="3" a="1"/>
  <c r="H286" i="3" s="1"/>
  <c r="H285" i="3"/>
  <c r="H284" i="3"/>
  <c r="H284" i="3" a="1"/>
  <c r="H283" i="3" a="1"/>
  <c r="H283" i="3" s="1"/>
  <c r="H282" i="3"/>
  <c r="H281" i="3" a="1"/>
  <c r="H281" i="3" s="1"/>
  <c r="H280" i="3"/>
  <c r="H280" i="3" a="1"/>
  <c r="H279" i="3" a="1"/>
  <c r="H279" i="3" s="1"/>
  <c r="H277" i="3"/>
  <c r="H272" i="3"/>
  <c r="H271" i="3"/>
  <c r="H270" i="3"/>
  <c r="H269" i="3"/>
  <c r="H269" i="3" a="1"/>
  <c r="H268" i="3"/>
  <c r="H267" i="3"/>
  <c r="H266" i="3"/>
  <c r="H266" i="3" a="1"/>
  <c r="H265" i="3"/>
  <c r="H264" i="3" a="1"/>
  <c r="H264" i="3" s="1"/>
  <c r="H263" i="3"/>
  <c r="H262" i="3" a="1"/>
  <c r="H262" i="3" s="1"/>
  <c r="H261" i="3" a="1"/>
  <c r="H261" i="3" s="1"/>
  <c r="H260" i="3" a="1"/>
  <c r="H260" i="3" s="1"/>
  <c r="H259" i="3"/>
  <c r="H259" i="3" a="1"/>
  <c r="H258" i="3"/>
  <c r="H257" i="3"/>
  <c r="H256" i="3"/>
  <c r="H255" i="3"/>
  <c r="H255" i="3" a="1"/>
  <c r="H254" i="3" a="1"/>
  <c r="H254" i="3" s="1"/>
  <c r="H253" i="3"/>
  <c r="H252" i="3" a="1"/>
  <c r="H252" i="3" s="1"/>
  <c r="H251" i="3"/>
  <c r="H250" i="3"/>
  <c r="H250" i="3" a="1"/>
  <c r="H249" i="3" a="1"/>
  <c r="H249" i="3" s="1"/>
  <c r="H248" i="3"/>
  <c r="H247" i="3" a="1"/>
  <c r="H247" i="3" s="1"/>
  <c r="H246" i="3" a="1"/>
  <c r="H246" i="3" s="1"/>
  <c r="H245" i="3" a="1"/>
  <c r="H245" i="3" s="1"/>
  <c r="H243" i="3"/>
  <c r="H238" i="3"/>
  <c r="H237" i="3"/>
  <c r="H236" i="3"/>
  <c r="H235" i="3"/>
  <c r="H235" i="3" a="1"/>
  <c r="H234" i="3"/>
  <c r="H233" i="3"/>
  <c r="H232" i="3"/>
  <c r="H232" i="3" a="1"/>
  <c r="H231" i="3"/>
  <c r="H230" i="3" a="1"/>
  <c r="H230" i="3" s="1"/>
  <c r="H229" i="3"/>
  <c r="H228" i="3" a="1"/>
  <c r="H228" i="3" s="1"/>
  <c r="H227" i="3" a="1"/>
  <c r="H227" i="3" s="1"/>
  <c r="H226" i="3" a="1"/>
  <c r="H226" i="3" s="1"/>
  <c r="H225" i="3"/>
  <c r="H225" i="3" a="1"/>
  <c r="H224" i="3"/>
  <c r="H223" i="3"/>
  <c r="H222" i="3"/>
  <c r="H221" i="3"/>
  <c r="H221" i="3" a="1"/>
  <c r="H220" i="3" a="1"/>
  <c r="H220" i="3" s="1"/>
  <c r="H219" i="3"/>
  <c r="H218" i="3" a="1"/>
  <c r="H218" i="3" s="1"/>
  <c r="H217" i="3"/>
  <c r="H216" i="3"/>
  <c r="H216" i="3" a="1"/>
  <c r="H215" i="3" a="1"/>
  <c r="H215" i="3" s="1"/>
  <c r="H214" i="3"/>
  <c r="H213" i="3" a="1"/>
  <c r="H213" i="3" s="1"/>
  <c r="H212" i="3" a="1"/>
  <c r="H212" i="3" s="1"/>
  <c r="H211" i="3" a="1"/>
  <c r="H211" i="3" s="1"/>
  <c r="H209" i="3"/>
  <c r="H204" i="3"/>
  <c r="H203" i="3"/>
  <c r="H202" i="3"/>
  <c r="H201" i="3"/>
  <c r="H201" i="3" a="1"/>
  <c r="H200" i="3"/>
  <c r="H199" i="3"/>
  <c r="H198" i="3"/>
  <c r="H198" i="3" a="1"/>
  <c r="H197" i="3"/>
  <c r="H196" i="3" a="1"/>
  <c r="H196" i="3" s="1"/>
  <c r="H195" i="3"/>
  <c r="H194" i="3" a="1"/>
  <c r="H194" i="3" s="1"/>
  <c r="H193" i="3" a="1"/>
  <c r="H193" i="3" s="1"/>
  <c r="H192" i="3" a="1"/>
  <c r="H192" i="3" s="1"/>
  <c r="H191" i="3"/>
  <c r="H191" i="3" a="1"/>
  <c r="H190" i="3"/>
  <c r="H189" i="3"/>
  <c r="H188" i="3"/>
  <c r="H187" i="3"/>
  <c r="H187" i="3" a="1"/>
  <c r="H186" i="3" a="1"/>
  <c r="H186" i="3" s="1"/>
  <c r="H185" i="3"/>
  <c r="H184" i="3" a="1"/>
  <c r="H184" i="3" s="1"/>
  <c r="H183" i="3"/>
  <c r="H182" i="3"/>
  <c r="H182" i="3" a="1"/>
  <c r="H181" i="3" a="1"/>
  <c r="H181" i="3" s="1"/>
  <c r="H180" i="3"/>
  <c r="H179" i="3" a="1"/>
  <c r="H179" i="3" s="1"/>
  <c r="H178" i="3" a="1"/>
  <c r="H178" i="3" s="1"/>
  <c r="H177" i="3" a="1"/>
  <c r="H177" i="3" s="1"/>
  <c r="H175" i="3"/>
  <c r="H170" i="3"/>
  <c r="H169" i="3"/>
  <c r="H168" i="3"/>
  <c r="H167" i="3"/>
  <c r="H167" i="3" a="1"/>
  <c r="H166" i="3"/>
  <c r="H165" i="3"/>
  <c r="H164" i="3"/>
  <c r="H164" i="3" a="1"/>
  <c r="H163" i="3"/>
  <c r="H162" i="3" a="1"/>
  <c r="H162" i="3" s="1"/>
  <c r="H161" i="3"/>
  <c r="H160" i="3" a="1"/>
  <c r="H160" i="3" s="1"/>
  <c r="H159" i="3" a="1"/>
  <c r="H159" i="3" s="1"/>
  <c r="H158" i="3" a="1"/>
  <c r="H158" i="3" s="1"/>
  <c r="H157" i="3"/>
  <c r="H157" i="3" a="1"/>
  <c r="H156" i="3"/>
  <c r="H155" i="3"/>
  <c r="H154" i="3"/>
  <c r="H153" i="3"/>
  <c r="H153" i="3" a="1"/>
  <c r="H152" i="3" a="1"/>
  <c r="H152" i="3" s="1"/>
  <c r="H151" i="3"/>
  <c r="H150" i="3" a="1"/>
  <c r="H150" i="3" s="1"/>
  <c r="H149" i="3"/>
  <c r="H148" i="3"/>
  <c r="H148" i="3" a="1"/>
  <c r="H147" i="3" a="1"/>
  <c r="H147" i="3" s="1"/>
  <c r="H146" i="3"/>
  <c r="H145" i="3" a="1"/>
  <c r="H145" i="3" s="1"/>
  <c r="H144" i="3" a="1"/>
  <c r="H144" i="3" s="1"/>
  <c r="H143" i="3" a="1"/>
  <c r="H143" i="3" s="1"/>
  <c r="H141" i="3"/>
  <c r="H136" i="3"/>
  <c r="H135" i="3"/>
  <c r="H134" i="3"/>
  <c r="H133" i="3"/>
  <c r="H133" i="3" a="1"/>
  <c r="H132" i="3"/>
  <c r="H131" i="3"/>
  <c r="H130" i="3"/>
  <c r="H130" i="3" a="1"/>
  <c r="H129" i="3"/>
  <c r="H128" i="3" a="1"/>
  <c r="H128" i="3" s="1"/>
  <c r="H127" i="3"/>
  <c r="H126" i="3" a="1"/>
  <c r="H126" i="3" s="1"/>
  <c r="H125" i="3" a="1"/>
  <c r="H125" i="3" s="1"/>
  <c r="H124" i="3" a="1"/>
  <c r="H124" i="3" s="1"/>
  <c r="H123" i="3"/>
  <c r="H123" i="3" a="1"/>
  <c r="H122" i="3"/>
  <c r="H121" i="3"/>
  <c r="H120" i="3"/>
  <c r="H119" i="3"/>
  <c r="H119" i="3" a="1"/>
  <c r="H118" i="3" a="1"/>
  <c r="H118" i="3" s="1"/>
  <c r="H117" i="3"/>
  <c r="H116" i="3" a="1"/>
  <c r="H116" i="3" s="1"/>
  <c r="H115" i="3"/>
  <c r="H114" i="3"/>
  <c r="H114" i="3" a="1"/>
  <c r="H113" i="3" a="1"/>
  <c r="H113" i="3" s="1"/>
  <c r="H112" i="3"/>
  <c r="H111" i="3" a="1"/>
  <c r="H111" i="3" s="1"/>
  <c r="H110" i="3" a="1"/>
  <c r="H110" i="3" s="1"/>
  <c r="H109" i="3" a="1"/>
  <c r="H109" i="3" s="1"/>
  <c r="H107" i="3"/>
  <c r="H102" i="3"/>
  <c r="H101" i="3"/>
  <c r="H100" i="3"/>
  <c r="H99" i="3"/>
  <c r="H99" i="3" a="1"/>
  <c r="H98" i="3"/>
  <c r="H97" i="3"/>
  <c r="H96" i="3"/>
  <c r="H96" i="3" a="1"/>
  <c r="H95" i="3"/>
  <c r="H94" i="3" a="1"/>
  <c r="H94" i="3" s="1"/>
  <c r="H93" i="3"/>
  <c r="H92" i="3" a="1"/>
  <c r="H92" i="3" s="1"/>
  <c r="H91" i="3" a="1"/>
  <c r="H91" i="3" s="1"/>
  <c r="H90" i="3" a="1"/>
  <c r="H90" i="3" s="1"/>
  <c r="H89" i="3"/>
  <c r="H89" i="3" a="1"/>
  <c r="H88" i="3"/>
  <c r="H87" i="3"/>
  <c r="H86" i="3"/>
  <c r="H85" i="3"/>
  <c r="H85" i="3" a="1"/>
  <c r="H84" i="3" a="1"/>
  <c r="H84" i="3" s="1"/>
  <c r="H83" i="3"/>
  <c r="H82" i="3" a="1"/>
  <c r="H82" i="3" s="1"/>
  <c r="H81" i="3"/>
  <c r="H80" i="3"/>
  <c r="H80" i="3" a="1"/>
  <c r="H79" i="3" a="1"/>
  <c r="H79" i="3" s="1"/>
  <c r="H78" i="3"/>
  <c r="H77" i="3" a="1"/>
  <c r="H77" i="3" s="1"/>
  <c r="H76" i="3" a="1"/>
  <c r="H76" i="3" s="1"/>
  <c r="H75" i="3" a="1"/>
  <c r="H75" i="3" s="1"/>
  <c r="H73" i="3"/>
  <c r="H68" i="3"/>
  <c r="H67" i="3"/>
  <c r="H66" i="3"/>
  <c r="H65" i="3"/>
  <c r="H65" i="3" a="1"/>
  <c r="H64" i="3"/>
  <c r="H63" i="3"/>
  <c r="H62" i="3"/>
  <c r="H62" i="3" a="1"/>
  <c r="H61" i="3"/>
  <c r="H60" i="3" a="1"/>
  <c r="H60" i="3" s="1"/>
  <c r="H59" i="3"/>
  <c r="H58" i="3" a="1"/>
  <c r="H58" i="3" s="1"/>
  <c r="H57" i="3" a="1"/>
  <c r="H57" i="3" s="1"/>
  <c r="H56" i="3" a="1"/>
  <c r="H56" i="3" s="1"/>
  <c r="H55" i="3" a="1"/>
  <c r="H55" i="3" s="1"/>
  <c r="H54" i="3"/>
  <c r="H53" i="3"/>
  <c r="H52" i="3"/>
  <c r="H51" i="3"/>
  <c r="H51" i="3" a="1"/>
  <c r="H50" i="3" a="1"/>
  <c r="H50" i="3" s="1"/>
  <c r="H49" i="3"/>
  <c r="H48" i="3" a="1"/>
  <c r="H48" i="3" s="1"/>
  <c r="H47" i="3"/>
  <c r="H46" i="3"/>
  <c r="H46" i="3" a="1"/>
  <c r="H45" i="3" a="1"/>
  <c r="H45" i="3" s="1"/>
  <c r="H44" i="3"/>
  <c r="H43" i="3" a="1"/>
  <c r="H43" i="3" s="1"/>
  <c r="H42" i="3" a="1"/>
  <c r="H42" i="3" s="1"/>
  <c r="H41" i="3" a="1"/>
  <c r="H41" i="3" s="1"/>
  <c r="H39" i="3"/>
  <c r="H15" i="3"/>
  <c r="H20" i="3"/>
  <c r="K680" i="3"/>
  <c r="K679" i="3"/>
  <c r="K678" i="3" a="1"/>
  <c r="K678" i="3" s="1"/>
  <c r="K677" i="3" a="1"/>
  <c r="K677" i="3" s="1"/>
  <c r="K676" i="3"/>
  <c r="K675" i="3"/>
  <c r="K674" i="3"/>
  <c r="K673" i="3"/>
  <c r="K672" i="3"/>
  <c r="K671" i="3"/>
  <c r="K670" i="3" a="1"/>
  <c r="K670" i="3" s="1"/>
  <c r="K669" i="3" a="1"/>
  <c r="K669" i="3" s="1"/>
  <c r="K668" i="3"/>
  <c r="K667" i="3"/>
  <c r="K666" i="3"/>
  <c r="K665" i="3"/>
  <c r="K665" i="3" a="1"/>
  <c r="K663" i="3"/>
  <c r="K662" i="3"/>
  <c r="K664" i="3" s="1"/>
  <c r="K661" i="3"/>
  <c r="K660" i="3" a="1"/>
  <c r="K660" i="3" s="1"/>
  <c r="K659" i="3"/>
  <c r="K658" i="3"/>
  <c r="K657" i="3"/>
  <c r="K656" i="3"/>
  <c r="K655" i="3"/>
  <c r="K654" i="3"/>
  <c r="K653" i="3"/>
  <c r="K652" i="3"/>
  <c r="K651" i="3"/>
  <c r="K646" i="3"/>
  <c r="K645" i="3"/>
  <c r="K644" i="3" a="1"/>
  <c r="K644" i="3" s="1"/>
  <c r="K643" i="3" a="1"/>
  <c r="K643" i="3" s="1"/>
  <c r="K642" i="3"/>
  <c r="K641" i="3"/>
  <c r="K640" i="3"/>
  <c r="K639" i="3"/>
  <c r="K638" i="3"/>
  <c r="K637" i="3"/>
  <c r="K636" i="3" a="1"/>
  <c r="K636" i="3" s="1"/>
  <c r="K635" i="3" a="1"/>
  <c r="K635" i="3" s="1"/>
  <c r="K634" i="3"/>
  <c r="K633" i="3"/>
  <c r="K632" i="3"/>
  <c r="K631" i="3" a="1"/>
  <c r="K631" i="3" s="1"/>
  <c r="K629" i="3"/>
  <c r="K628" i="3"/>
  <c r="K630" i="3" s="1"/>
  <c r="K627" i="3"/>
  <c r="K626" i="3"/>
  <c r="K626" i="3" a="1"/>
  <c r="K625" i="3"/>
  <c r="K624" i="3"/>
  <c r="K623" i="3"/>
  <c r="K622" i="3"/>
  <c r="K621" i="3"/>
  <c r="K620" i="3"/>
  <c r="K619" i="3"/>
  <c r="K618" i="3"/>
  <c r="K617" i="3"/>
  <c r="K612" i="3"/>
  <c r="K611" i="3"/>
  <c r="K610" i="3" a="1"/>
  <c r="K610" i="3" s="1"/>
  <c r="K609" i="3" a="1"/>
  <c r="K609" i="3" s="1"/>
  <c r="K608" i="3"/>
  <c r="K607" i="3"/>
  <c r="K606" i="3"/>
  <c r="K605" i="3"/>
  <c r="K604" i="3"/>
  <c r="K603" i="3"/>
  <c r="K602" i="3" a="1"/>
  <c r="K602" i="3" s="1"/>
  <c r="K601" i="3"/>
  <c r="K601" i="3" a="1"/>
  <c r="K600" i="3"/>
  <c r="K599" i="3"/>
  <c r="K598" i="3"/>
  <c r="K597" i="3"/>
  <c r="K597" i="3" a="1"/>
  <c r="K596" i="3"/>
  <c r="K595" i="3"/>
  <c r="K594" i="3"/>
  <c r="K593" i="3"/>
  <c r="K592" i="3" a="1"/>
  <c r="K592" i="3" s="1"/>
  <c r="K591" i="3"/>
  <c r="K590" i="3"/>
  <c r="K589" i="3"/>
  <c r="K588" i="3"/>
  <c r="K587" i="3"/>
  <c r="K586" i="3"/>
  <c r="K585" i="3"/>
  <c r="K584" i="3"/>
  <c r="K583" i="3"/>
  <c r="K578" i="3"/>
  <c r="K577" i="3"/>
  <c r="K576" i="3" a="1"/>
  <c r="K576" i="3" s="1"/>
  <c r="K575" i="3" a="1"/>
  <c r="K575" i="3" s="1"/>
  <c r="K574" i="3"/>
  <c r="K573" i="3"/>
  <c r="K572" i="3"/>
  <c r="K571" i="3"/>
  <c r="K570" i="3"/>
  <c r="K569" i="3"/>
  <c r="K568" i="3" a="1"/>
  <c r="K568" i="3" s="1"/>
  <c r="K567" i="3"/>
  <c r="K567" i="3" a="1"/>
  <c r="K566" i="3"/>
  <c r="K565" i="3"/>
  <c r="K564" i="3"/>
  <c r="K563" i="3"/>
  <c r="K563" i="3" a="1"/>
  <c r="K562" i="3"/>
  <c r="K561" i="3"/>
  <c r="K560" i="3"/>
  <c r="K559" i="3"/>
  <c r="K558" i="3"/>
  <c r="K558" i="3" a="1"/>
  <c r="K557" i="3"/>
  <c r="K556" i="3"/>
  <c r="K555" i="3"/>
  <c r="K554" i="3"/>
  <c r="K553" i="3"/>
  <c r="K552" i="3"/>
  <c r="K551" i="3"/>
  <c r="K550" i="3"/>
  <c r="K549" i="3"/>
  <c r="K544" i="3"/>
  <c r="K543" i="3"/>
  <c r="K542" i="3" a="1"/>
  <c r="K542" i="3" s="1"/>
  <c r="K541" i="3" a="1"/>
  <c r="K541" i="3" s="1"/>
  <c r="K540" i="3"/>
  <c r="K539" i="3"/>
  <c r="K538" i="3"/>
  <c r="K537" i="3"/>
  <c r="K536" i="3"/>
  <c r="K535" i="3"/>
  <c r="K534" i="3" a="1"/>
  <c r="K534" i="3" s="1"/>
  <c r="K533" i="3" a="1"/>
  <c r="K533" i="3" s="1"/>
  <c r="K532" i="3"/>
  <c r="K531" i="3"/>
  <c r="K530" i="3"/>
  <c r="K529" i="3"/>
  <c r="K529" i="3" a="1"/>
  <c r="K527" i="3"/>
  <c r="K526" i="3"/>
  <c r="K528" i="3" s="1"/>
  <c r="K525" i="3"/>
  <c r="K524" i="3"/>
  <c r="K524" i="3" a="1"/>
  <c r="K523" i="3"/>
  <c r="K522" i="3"/>
  <c r="K521" i="3"/>
  <c r="K520" i="3"/>
  <c r="K519" i="3"/>
  <c r="K518" i="3"/>
  <c r="K517" i="3"/>
  <c r="K516" i="3"/>
  <c r="K515" i="3"/>
  <c r="K510" i="3"/>
  <c r="K509" i="3"/>
  <c r="K508" i="3" a="1"/>
  <c r="K508" i="3" s="1"/>
  <c r="K507" i="3" a="1"/>
  <c r="K507" i="3" s="1"/>
  <c r="K506" i="3"/>
  <c r="K505" i="3"/>
  <c r="K504" i="3"/>
  <c r="K503" i="3"/>
  <c r="K502" i="3"/>
  <c r="K501" i="3"/>
  <c r="K500" i="3" a="1"/>
  <c r="K500" i="3" s="1"/>
  <c r="K499" i="3"/>
  <c r="K499" i="3" a="1"/>
  <c r="K498" i="3"/>
  <c r="K497" i="3"/>
  <c r="K496" i="3"/>
  <c r="K495" i="3"/>
  <c r="K495" i="3" a="1"/>
  <c r="K493" i="3"/>
  <c r="K492" i="3"/>
  <c r="K494" i="3" s="1"/>
  <c r="K491" i="3"/>
  <c r="K490" i="3" a="1"/>
  <c r="K490" i="3" s="1"/>
  <c r="K489" i="3"/>
  <c r="K488" i="3"/>
  <c r="K487" i="3"/>
  <c r="K486" i="3"/>
  <c r="K485" i="3"/>
  <c r="K484" i="3"/>
  <c r="K483" i="3"/>
  <c r="K482" i="3"/>
  <c r="K481" i="3"/>
  <c r="K476" i="3"/>
  <c r="K475" i="3"/>
  <c r="K474" i="3" a="1"/>
  <c r="K474" i="3" s="1"/>
  <c r="K473" i="3" a="1"/>
  <c r="K473" i="3" s="1"/>
  <c r="K472" i="3"/>
  <c r="K471" i="3"/>
  <c r="K470" i="3"/>
  <c r="K469" i="3"/>
  <c r="K468" i="3"/>
  <c r="K467" i="3"/>
  <c r="K466" i="3" a="1"/>
  <c r="K466" i="3" s="1"/>
  <c r="K465" i="3" a="1"/>
  <c r="K465" i="3" s="1"/>
  <c r="K464" i="3"/>
  <c r="K463" i="3"/>
  <c r="K462" i="3"/>
  <c r="K461" i="3"/>
  <c r="K461" i="3" a="1"/>
  <c r="K459" i="3"/>
  <c r="K458" i="3"/>
  <c r="K460" i="3" s="1"/>
  <c r="K457" i="3"/>
  <c r="K456" i="3" a="1"/>
  <c r="K456" i="3" s="1"/>
  <c r="K455" i="3"/>
  <c r="K454" i="3"/>
  <c r="K453" i="3"/>
  <c r="K452" i="3"/>
  <c r="K451" i="3"/>
  <c r="K450" i="3"/>
  <c r="K449" i="3"/>
  <c r="K448" i="3"/>
  <c r="K447" i="3"/>
  <c r="K442" i="3"/>
  <c r="K441" i="3"/>
  <c r="K440" i="3" a="1"/>
  <c r="K440" i="3" s="1"/>
  <c r="K439" i="3" a="1"/>
  <c r="K439" i="3" s="1"/>
  <c r="K438" i="3"/>
  <c r="K437" i="3"/>
  <c r="K436" i="3"/>
  <c r="K435" i="3"/>
  <c r="K434" i="3"/>
  <c r="K433" i="3"/>
  <c r="K432" i="3" a="1"/>
  <c r="K432" i="3" s="1"/>
  <c r="K431" i="3" a="1"/>
  <c r="K431" i="3" s="1"/>
  <c r="K430" i="3"/>
  <c r="K429" i="3"/>
  <c r="K428" i="3"/>
  <c r="K427" i="3"/>
  <c r="K427" i="3" a="1"/>
  <c r="K425" i="3"/>
  <c r="K424" i="3"/>
  <c r="K426" i="3" s="1"/>
  <c r="K423" i="3"/>
  <c r="K422" i="3" a="1"/>
  <c r="K422" i="3" s="1"/>
  <c r="K421" i="3"/>
  <c r="K420" i="3"/>
  <c r="K419" i="3"/>
  <c r="K418" i="3"/>
  <c r="K417" i="3"/>
  <c r="K416" i="3"/>
  <c r="K415" i="3"/>
  <c r="K414" i="3"/>
  <c r="K413" i="3"/>
  <c r="K408" i="3"/>
  <c r="K407" i="3"/>
  <c r="K406" i="3" a="1"/>
  <c r="K406" i="3" s="1"/>
  <c r="K405" i="3" a="1"/>
  <c r="K405" i="3" s="1"/>
  <c r="K404" i="3"/>
  <c r="K403" i="3"/>
  <c r="K402" i="3"/>
  <c r="K401" i="3"/>
  <c r="K400" i="3"/>
  <c r="K399" i="3"/>
  <c r="K398" i="3" a="1"/>
  <c r="K398" i="3" s="1"/>
  <c r="K397" i="3" a="1"/>
  <c r="K397" i="3" s="1"/>
  <c r="K396" i="3"/>
  <c r="K395" i="3"/>
  <c r="K394" i="3"/>
  <c r="K393" i="3"/>
  <c r="K393" i="3" a="1"/>
  <c r="K391" i="3"/>
  <c r="K390" i="3"/>
  <c r="K392" i="3" s="1"/>
  <c r="K389" i="3"/>
  <c r="K388" i="3" a="1"/>
  <c r="K388" i="3" s="1"/>
  <c r="K387" i="3"/>
  <c r="K386" i="3"/>
  <c r="K385" i="3"/>
  <c r="K384" i="3"/>
  <c r="K383" i="3"/>
  <c r="K382" i="3"/>
  <c r="K381" i="3"/>
  <c r="K380" i="3"/>
  <c r="K379" i="3"/>
  <c r="K374" i="3"/>
  <c r="K373" i="3"/>
  <c r="K372" i="3" a="1"/>
  <c r="K372" i="3" s="1"/>
  <c r="K371" i="3" a="1"/>
  <c r="K371" i="3" s="1"/>
  <c r="K370" i="3"/>
  <c r="K369" i="3"/>
  <c r="K368" i="3"/>
  <c r="K367" i="3"/>
  <c r="K366" i="3"/>
  <c r="K365" i="3"/>
  <c r="K364" i="3" a="1"/>
  <c r="K364" i="3" s="1"/>
  <c r="K363" i="3" a="1"/>
  <c r="K363" i="3" s="1"/>
  <c r="K362" i="3"/>
  <c r="K361" i="3"/>
  <c r="K360" i="3"/>
  <c r="K359" i="3"/>
  <c r="K359" i="3" a="1"/>
  <c r="K357" i="3"/>
  <c r="K356" i="3"/>
  <c r="K358" i="3" s="1"/>
  <c r="K355" i="3"/>
  <c r="K354" i="3" a="1"/>
  <c r="K354" i="3" s="1"/>
  <c r="K353" i="3"/>
  <c r="K352" i="3"/>
  <c r="K351" i="3"/>
  <c r="K350" i="3"/>
  <c r="K349" i="3"/>
  <c r="K348" i="3"/>
  <c r="K347" i="3"/>
  <c r="K346" i="3"/>
  <c r="K345" i="3"/>
  <c r="K340" i="3"/>
  <c r="K339" i="3"/>
  <c r="K338" i="3" a="1"/>
  <c r="K338" i="3" s="1"/>
  <c r="K337" i="3" a="1"/>
  <c r="K337" i="3" s="1"/>
  <c r="K336" i="3"/>
  <c r="K335" i="3"/>
  <c r="K334" i="3"/>
  <c r="K333" i="3"/>
  <c r="K332" i="3"/>
  <c r="K331" i="3"/>
  <c r="K330" i="3" a="1"/>
  <c r="K330" i="3" s="1"/>
  <c r="K329" i="3" a="1"/>
  <c r="K329" i="3" s="1"/>
  <c r="K328" i="3"/>
  <c r="K327" i="3"/>
  <c r="K326" i="3"/>
  <c r="K325" i="3"/>
  <c r="K325" i="3" a="1"/>
  <c r="K323" i="3"/>
  <c r="K322" i="3"/>
  <c r="K324" i="3" s="1"/>
  <c r="K321" i="3"/>
  <c r="K320" i="3"/>
  <c r="K320" i="3" a="1"/>
  <c r="K319" i="3"/>
  <c r="K318" i="3"/>
  <c r="K317" i="3"/>
  <c r="K316" i="3"/>
  <c r="K315" i="3"/>
  <c r="K314" i="3"/>
  <c r="K313" i="3"/>
  <c r="K312" i="3"/>
  <c r="K311" i="3"/>
  <c r="K306" i="3"/>
  <c r="K305" i="3"/>
  <c r="K304" i="3" a="1"/>
  <c r="K304" i="3" s="1"/>
  <c r="K303" i="3" a="1"/>
  <c r="K303" i="3" s="1"/>
  <c r="K302" i="3"/>
  <c r="K301" i="3"/>
  <c r="K300" i="3"/>
  <c r="K299" i="3"/>
  <c r="K298" i="3"/>
  <c r="K297" i="3"/>
  <c r="K296" i="3" a="1"/>
  <c r="K296" i="3" s="1"/>
  <c r="K295" i="3" a="1"/>
  <c r="K295" i="3" s="1"/>
  <c r="K294" i="3"/>
  <c r="K293" i="3"/>
  <c r="K292" i="3"/>
  <c r="K291" i="3"/>
  <c r="K291" i="3" a="1"/>
  <c r="K290" i="3"/>
  <c r="K289" i="3"/>
  <c r="K288" i="3"/>
  <c r="K287" i="3"/>
  <c r="K286" i="3" a="1"/>
  <c r="K286" i="3" s="1"/>
  <c r="K285" i="3"/>
  <c r="K284" i="3"/>
  <c r="K283" i="3"/>
  <c r="K282" i="3"/>
  <c r="K281" i="3"/>
  <c r="K280" i="3"/>
  <c r="K279" i="3"/>
  <c r="K278" i="3"/>
  <c r="K277" i="3"/>
  <c r="K272" i="3"/>
  <c r="K271" i="3"/>
  <c r="K270" i="3" a="1"/>
  <c r="K270" i="3" s="1"/>
  <c r="K269" i="3" a="1"/>
  <c r="K269" i="3" s="1"/>
  <c r="K268" i="3"/>
  <c r="K267" i="3"/>
  <c r="K266" i="3"/>
  <c r="K265" i="3"/>
  <c r="K264" i="3"/>
  <c r="K263" i="3"/>
  <c r="K262" i="3" a="1"/>
  <c r="K262" i="3" s="1"/>
  <c r="K261" i="3" a="1"/>
  <c r="K261" i="3" s="1"/>
  <c r="K260" i="3"/>
  <c r="K259" i="3"/>
  <c r="K258" i="3"/>
  <c r="K257" i="3"/>
  <c r="K257" i="3" a="1"/>
  <c r="K255" i="3"/>
  <c r="K254" i="3"/>
  <c r="K256" i="3" s="1"/>
  <c r="K253" i="3"/>
  <c r="K252" i="3" a="1"/>
  <c r="K252" i="3" s="1"/>
  <c r="K251" i="3"/>
  <c r="K250" i="3"/>
  <c r="K249" i="3"/>
  <c r="K248" i="3"/>
  <c r="K247" i="3"/>
  <c r="K246" i="3"/>
  <c r="K245" i="3"/>
  <c r="K244" i="3"/>
  <c r="K243" i="3"/>
  <c r="K238" i="3"/>
  <c r="K237" i="3"/>
  <c r="K236" i="3" a="1"/>
  <c r="K236" i="3" s="1"/>
  <c r="K235" i="3"/>
  <c r="K235" i="3" a="1"/>
  <c r="K234" i="3"/>
  <c r="K233" i="3"/>
  <c r="K232" i="3"/>
  <c r="K231" i="3"/>
  <c r="K230" i="3"/>
  <c r="K229" i="3"/>
  <c r="K228" i="3" a="1"/>
  <c r="K228" i="3" s="1"/>
  <c r="K227" i="3" a="1"/>
  <c r="K227" i="3" s="1"/>
  <c r="K226" i="3"/>
  <c r="K225" i="3"/>
  <c r="K224" i="3"/>
  <c r="K223" i="3" a="1"/>
  <c r="K223" i="3" s="1"/>
  <c r="K221" i="3"/>
  <c r="K220" i="3"/>
  <c r="K222" i="3" s="1"/>
  <c r="K219" i="3"/>
  <c r="K218" i="3" a="1"/>
  <c r="K218" i="3" s="1"/>
  <c r="K217" i="3"/>
  <c r="K216" i="3"/>
  <c r="K215" i="3"/>
  <c r="K214" i="3"/>
  <c r="K213" i="3"/>
  <c r="K212" i="3"/>
  <c r="K211" i="3"/>
  <c r="K210" i="3"/>
  <c r="K209" i="3"/>
  <c r="K204" i="3"/>
  <c r="K203" i="3"/>
  <c r="K202" i="3" a="1"/>
  <c r="K202" i="3" s="1"/>
  <c r="K201" i="3" a="1"/>
  <c r="K201" i="3" s="1"/>
  <c r="K200" i="3"/>
  <c r="K199" i="3"/>
  <c r="K198" i="3"/>
  <c r="K197" i="3"/>
  <c r="K196" i="3"/>
  <c r="K195" i="3"/>
  <c r="K194" i="3" a="1"/>
  <c r="K194" i="3" s="1"/>
  <c r="K193" i="3" a="1"/>
  <c r="K193" i="3" s="1"/>
  <c r="K192" i="3"/>
  <c r="K191" i="3"/>
  <c r="K190" i="3"/>
  <c r="K189" i="3"/>
  <c r="K189" i="3" a="1"/>
  <c r="K188" i="3"/>
  <c r="K187" i="3"/>
  <c r="K186" i="3"/>
  <c r="K185" i="3"/>
  <c r="K184" i="3"/>
  <c r="K184" i="3" a="1"/>
  <c r="K183" i="3"/>
  <c r="K182" i="3"/>
  <c r="K181" i="3"/>
  <c r="K180" i="3"/>
  <c r="K179" i="3"/>
  <c r="K178" i="3"/>
  <c r="K177" i="3"/>
  <c r="K176" i="3"/>
  <c r="K175" i="3"/>
  <c r="K170" i="3"/>
  <c r="K169" i="3"/>
  <c r="K168" i="3" a="1"/>
  <c r="K168" i="3" s="1"/>
  <c r="K167" i="3" a="1"/>
  <c r="K167" i="3" s="1"/>
  <c r="K166" i="3"/>
  <c r="K165" i="3"/>
  <c r="K164" i="3"/>
  <c r="K163" i="3"/>
  <c r="K162" i="3"/>
  <c r="K161" i="3"/>
  <c r="K160" i="3" a="1"/>
  <c r="K160" i="3" s="1"/>
  <c r="K159" i="3" a="1"/>
  <c r="K159" i="3" s="1"/>
  <c r="K158" i="3"/>
  <c r="K157" i="3"/>
  <c r="K156" i="3"/>
  <c r="K155" i="3"/>
  <c r="K155" i="3" a="1"/>
  <c r="K153" i="3"/>
  <c r="K152" i="3"/>
  <c r="K154" i="3" s="1"/>
  <c r="K151" i="3"/>
  <c r="K150" i="3" a="1"/>
  <c r="K150" i="3" s="1"/>
  <c r="K149" i="3"/>
  <c r="K148" i="3"/>
  <c r="K147" i="3"/>
  <c r="K146" i="3"/>
  <c r="K145" i="3"/>
  <c r="K144" i="3"/>
  <c r="K143" i="3"/>
  <c r="K142" i="3"/>
  <c r="K141" i="3"/>
  <c r="K136" i="3"/>
  <c r="K135" i="3"/>
  <c r="K134" i="3" a="1"/>
  <c r="K134" i="3" s="1"/>
  <c r="K133" i="3" a="1"/>
  <c r="K133" i="3" s="1"/>
  <c r="K132" i="3"/>
  <c r="K131" i="3"/>
  <c r="K130" i="3"/>
  <c r="K129" i="3"/>
  <c r="K128" i="3"/>
  <c r="K127" i="3"/>
  <c r="K126" i="3" a="1"/>
  <c r="K126" i="3" s="1"/>
  <c r="K125" i="3"/>
  <c r="K125" i="3" a="1"/>
  <c r="K124" i="3"/>
  <c r="K123" i="3"/>
  <c r="K122" i="3"/>
  <c r="K121" i="3"/>
  <c r="K121" i="3" a="1"/>
  <c r="K120" i="3"/>
  <c r="K119" i="3"/>
  <c r="K118" i="3"/>
  <c r="K117" i="3"/>
  <c r="K116" i="3" a="1"/>
  <c r="K116" i="3" s="1"/>
  <c r="K115" i="3"/>
  <c r="K114" i="3"/>
  <c r="K113" i="3"/>
  <c r="K112" i="3"/>
  <c r="K111" i="3"/>
  <c r="K110" i="3"/>
  <c r="K109" i="3"/>
  <c r="K108" i="3"/>
  <c r="K107" i="3"/>
  <c r="K102" i="3"/>
  <c r="K101" i="3"/>
  <c r="K100" i="3"/>
  <c r="K100" i="3" a="1"/>
  <c r="K99" i="3" a="1"/>
  <c r="K99" i="3" s="1"/>
  <c r="K98" i="3"/>
  <c r="K97" i="3"/>
  <c r="K96" i="3"/>
  <c r="K95" i="3"/>
  <c r="K94" i="3"/>
  <c r="K93" i="3"/>
  <c r="K92" i="3" a="1"/>
  <c r="K92" i="3" s="1"/>
  <c r="K91" i="3" a="1"/>
  <c r="K91" i="3" s="1"/>
  <c r="K90" i="3"/>
  <c r="K89" i="3"/>
  <c r="K88" i="3"/>
  <c r="K87" i="3"/>
  <c r="K87" i="3" a="1"/>
  <c r="K85" i="3"/>
  <c r="K84" i="3"/>
  <c r="K86" i="3" s="1"/>
  <c r="K83" i="3"/>
  <c r="K82" i="3" a="1"/>
  <c r="K82" i="3" s="1"/>
  <c r="K81" i="3"/>
  <c r="K80" i="3"/>
  <c r="K79" i="3"/>
  <c r="K78" i="3"/>
  <c r="K77" i="3"/>
  <c r="K76" i="3"/>
  <c r="K75" i="3"/>
  <c r="K74" i="3"/>
  <c r="K73" i="3"/>
  <c r="K68" i="3"/>
  <c r="K67" i="3"/>
  <c r="K66" i="3" a="1"/>
  <c r="K66" i="3" s="1"/>
  <c r="K65" i="3" a="1"/>
  <c r="K65" i="3" s="1"/>
  <c r="K64" i="3"/>
  <c r="K63" i="3"/>
  <c r="K62" i="3"/>
  <c r="K61" i="3"/>
  <c r="K60" i="3"/>
  <c r="K59" i="3"/>
  <c r="K58" i="3" a="1"/>
  <c r="K58" i="3" s="1"/>
  <c r="K57" i="3" a="1"/>
  <c r="K57" i="3" s="1"/>
  <c r="K56" i="3"/>
  <c r="K55" i="3"/>
  <c r="K54" i="3"/>
  <c r="K53" i="3"/>
  <c r="K53" i="3" a="1"/>
  <c r="K51" i="3"/>
  <c r="K50" i="3"/>
  <c r="K52" i="3" s="1"/>
  <c r="K49" i="3"/>
  <c r="K48" i="3" a="1"/>
  <c r="K48" i="3" s="1"/>
  <c r="K47" i="3"/>
  <c r="K46" i="3"/>
  <c r="K45" i="3"/>
  <c r="K44" i="3"/>
  <c r="K43" i="3"/>
  <c r="K42" i="3"/>
  <c r="K41" i="3"/>
  <c r="K40" i="3"/>
  <c r="K39" i="3"/>
  <c r="D664" i="3"/>
  <c r="D630" i="3"/>
  <c r="D596" i="3"/>
  <c r="D562" i="3"/>
  <c r="D528" i="3"/>
  <c r="D494" i="3"/>
  <c r="D460" i="3"/>
  <c r="D426" i="3"/>
  <c r="D392" i="3"/>
  <c r="D358" i="3"/>
  <c r="D324" i="3"/>
  <c r="D290" i="3"/>
  <c r="D17" i="3" a="1"/>
  <c r="D17" i="3" s="1"/>
  <c r="D18" i="3" s="1"/>
  <c r="I679" i="3"/>
  <c r="I678" i="3"/>
  <c r="I677" i="3"/>
  <c r="I676" i="3"/>
  <c r="I675" i="3"/>
  <c r="I674" i="3"/>
  <c r="I673" i="3"/>
  <c r="I672" i="3"/>
  <c r="I671" i="3"/>
  <c r="I670" i="3" a="1"/>
  <c r="I670" i="3" s="1"/>
  <c r="I669" i="3" a="1"/>
  <c r="I669" i="3" s="1"/>
  <c r="I668" i="3"/>
  <c r="I667" i="3"/>
  <c r="I666" i="3"/>
  <c r="I665" i="3"/>
  <c r="I664" i="3"/>
  <c r="I663" i="3"/>
  <c r="I662" i="3"/>
  <c r="I661" i="3"/>
  <c r="I660" i="3" a="1"/>
  <c r="I660" i="3" s="1"/>
  <c r="I659" i="3"/>
  <c r="I658" i="3"/>
  <c r="I657" i="3"/>
  <c r="I656" i="3"/>
  <c r="I655" i="3"/>
  <c r="I654" i="3"/>
  <c r="I653" i="3"/>
  <c r="I652" i="3"/>
  <c r="I651" i="3"/>
  <c r="I645" i="3"/>
  <c r="I644" i="3"/>
  <c r="I643" i="3"/>
  <c r="I642" i="3"/>
  <c r="I641" i="3"/>
  <c r="I640" i="3"/>
  <c r="I639" i="3"/>
  <c r="I638" i="3"/>
  <c r="I637" i="3"/>
  <c r="I636" i="3" a="1"/>
  <c r="I636" i="3" s="1"/>
  <c r="I635" i="3" a="1"/>
  <c r="I635" i="3" s="1"/>
  <c r="I634" i="3"/>
  <c r="I633" i="3"/>
  <c r="I632" i="3"/>
  <c r="I631" i="3"/>
  <c r="I630" i="3"/>
  <c r="I629" i="3"/>
  <c r="I628" i="3"/>
  <c r="I627" i="3"/>
  <c r="I626" i="3" a="1"/>
  <c r="I626" i="3" s="1"/>
  <c r="I625" i="3"/>
  <c r="I624" i="3"/>
  <c r="I623" i="3"/>
  <c r="I622" i="3"/>
  <c r="I621" i="3"/>
  <c r="I620" i="3"/>
  <c r="I619" i="3"/>
  <c r="I618" i="3"/>
  <c r="I617" i="3"/>
  <c r="I611" i="3"/>
  <c r="I610" i="3"/>
  <c r="I609" i="3"/>
  <c r="I608" i="3"/>
  <c r="I607" i="3"/>
  <c r="I606" i="3"/>
  <c r="I605" i="3"/>
  <c r="I604" i="3"/>
  <c r="I603" i="3"/>
  <c r="I602" i="3" a="1"/>
  <c r="I602" i="3" s="1"/>
  <c r="I601" i="3" a="1"/>
  <c r="I601" i="3" s="1"/>
  <c r="I600" i="3"/>
  <c r="I599" i="3"/>
  <c r="I598" i="3"/>
  <c r="I597" i="3"/>
  <c r="I596" i="3"/>
  <c r="I595" i="3"/>
  <c r="I594" i="3"/>
  <c r="I593" i="3"/>
  <c r="I592" i="3" a="1"/>
  <c r="I592" i="3" s="1"/>
  <c r="I591" i="3"/>
  <c r="I590" i="3"/>
  <c r="I589" i="3"/>
  <c r="I588" i="3"/>
  <c r="I587" i="3"/>
  <c r="I586" i="3"/>
  <c r="I585" i="3"/>
  <c r="I584" i="3"/>
  <c r="I583" i="3"/>
  <c r="I577" i="3"/>
  <c r="I576" i="3"/>
  <c r="I575" i="3"/>
  <c r="I574" i="3"/>
  <c r="I573" i="3"/>
  <c r="I572" i="3"/>
  <c r="I571" i="3"/>
  <c r="I570" i="3"/>
  <c r="I569" i="3"/>
  <c r="I568" i="3"/>
  <c r="I568" i="3" a="1"/>
  <c r="I567" i="3" a="1"/>
  <c r="I567" i="3" s="1"/>
  <c r="I566" i="3"/>
  <c r="I565" i="3"/>
  <c r="I564" i="3"/>
  <c r="I563" i="3"/>
  <c r="I562" i="3"/>
  <c r="I561" i="3"/>
  <c r="I560" i="3"/>
  <c r="I559" i="3"/>
  <c r="I558" i="3" a="1"/>
  <c r="I558" i="3" s="1"/>
  <c r="I557" i="3"/>
  <c r="I556" i="3"/>
  <c r="I555" i="3"/>
  <c r="I554" i="3"/>
  <c r="I553" i="3"/>
  <c r="I552" i="3"/>
  <c r="I551" i="3"/>
  <c r="I550" i="3"/>
  <c r="I549" i="3"/>
  <c r="I543" i="3"/>
  <c r="I542" i="3"/>
  <c r="I541" i="3"/>
  <c r="I540" i="3"/>
  <c r="I539" i="3"/>
  <c r="I538" i="3"/>
  <c r="I537" i="3"/>
  <c r="I536" i="3"/>
  <c r="I535" i="3"/>
  <c r="I534" i="3" a="1"/>
  <c r="I534" i="3" s="1"/>
  <c r="I533" i="3"/>
  <c r="I533" i="3" a="1"/>
  <c r="I532" i="3"/>
  <c r="I531" i="3"/>
  <c r="I530" i="3"/>
  <c r="I529" i="3"/>
  <c r="I528" i="3"/>
  <c r="I527" i="3"/>
  <c r="I526" i="3"/>
  <c r="I525" i="3"/>
  <c r="I524" i="3" a="1"/>
  <c r="I524" i="3" s="1"/>
  <c r="I523" i="3"/>
  <c r="I522" i="3"/>
  <c r="I521" i="3"/>
  <c r="I520" i="3"/>
  <c r="I519" i="3"/>
  <c r="I518" i="3"/>
  <c r="I517" i="3"/>
  <c r="I516" i="3"/>
  <c r="I515" i="3"/>
  <c r="I509" i="3"/>
  <c r="I508" i="3"/>
  <c r="I507" i="3"/>
  <c r="I506" i="3"/>
  <c r="I505" i="3"/>
  <c r="I504" i="3"/>
  <c r="I503" i="3"/>
  <c r="I502" i="3"/>
  <c r="I501" i="3"/>
  <c r="I500" i="3"/>
  <c r="I500" i="3" a="1"/>
  <c r="I499" i="3" a="1"/>
  <c r="I499" i="3" s="1"/>
  <c r="I498" i="3"/>
  <c r="I497" i="3"/>
  <c r="I496" i="3"/>
  <c r="I495" i="3"/>
  <c r="I494" i="3"/>
  <c r="I493" i="3"/>
  <c r="I492" i="3"/>
  <c r="I491" i="3"/>
  <c r="I490" i="3"/>
  <c r="I490" i="3" a="1"/>
  <c r="I489" i="3"/>
  <c r="I488" i="3"/>
  <c r="I487" i="3"/>
  <c r="I486" i="3"/>
  <c r="I485" i="3"/>
  <c r="I484" i="3"/>
  <c r="I483" i="3"/>
  <c r="I482" i="3"/>
  <c r="I481" i="3"/>
  <c r="I475" i="3"/>
  <c r="I474" i="3"/>
  <c r="I473" i="3"/>
  <c r="I472" i="3"/>
  <c r="I471" i="3"/>
  <c r="I470" i="3"/>
  <c r="I469" i="3"/>
  <c r="I468" i="3"/>
  <c r="I467" i="3"/>
  <c r="I466" i="3" a="1"/>
  <c r="I466" i="3" s="1"/>
  <c r="I465" i="3" a="1"/>
  <c r="I465" i="3" s="1"/>
  <c r="I464" i="3"/>
  <c r="I463" i="3"/>
  <c r="I462" i="3"/>
  <c r="I461" i="3"/>
  <c r="I460" i="3"/>
  <c r="I459" i="3"/>
  <c r="I458" i="3"/>
  <c r="I457" i="3"/>
  <c r="I456" i="3" a="1"/>
  <c r="I456" i="3" s="1"/>
  <c r="I455" i="3"/>
  <c r="I454" i="3"/>
  <c r="I453" i="3"/>
  <c r="I452" i="3"/>
  <c r="I451" i="3"/>
  <c r="I450" i="3"/>
  <c r="I449" i="3"/>
  <c r="I448" i="3"/>
  <c r="I447" i="3"/>
  <c r="I441" i="3"/>
  <c r="I440" i="3"/>
  <c r="I439" i="3"/>
  <c r="I438" i="3"/>
  <c r="I437" i="3"/>
  <c r="I436" i="3"/>
  <c r="I435" i="3"/>
  <c r="I434" i="3"/>
  <c r="I433" i="3"/>
  <c r="I432" i="3" a="1"/>
  <c r="I432" i="3" s="1"/>
  <c r="I431" i="3" a="1"/>
  <c r="I431" i="3" s="1"/>
  <c r="I430" i="3"/>
  <c r="I429" i="3"/>
  <c r="I428" i="3"/>
  <c r="I427" i="3"/>
  <c r="I426" i="3"/>
  <c r="I425" i="3"/>
  <c r="I424" i="3"/>
  <c r="I423" i="3"/>
  <c r="I422" i="3" a="1"/>
  <c r="I422" i="3" s="1"/>
  <c r="I421" i="3"/>
  <c r="I420" i="3"/>
  <c r="I419" i="3"/>
  <c r="I418" i="3"/>
  <c r="I417" i="3"/>
  <c r="I416" i="3"/>
  <c r="I415" i="3"/>
  <c r="I414" i="3"/>
  <c r="I413" i="3"/>
  <c r="I407" i="3"/>
  <c r="I406" i="3"/>
  <c r="I405" i="3"/>
  <c r="I404" i="3"/>
  <c r="I403" i="3"/>
  <c r="I402" i="3"/>
  <c r="I401" i="3"/>
  <c r="I400" i="3"/>
  <c r="I399" i="3"/>
  <c r="I398" i="3" a="1"/>
  <c r="I398" i="3" s="1"/>
  <c r="I397" i="3" a="1"/>
  <c r="I397" i="3" s="1"/>
  <c r="I396" i="3"/>
  <c r="I395" i="3"/>
  <c r="I394" i="3"/>
  <c r="I393" i="3"/>
  <c r="I392" i="3"/>
  <c r="I391" i="3"/>
  <c r="I390" i="3"/>
  <c r="I389" i="3"/>
  <c r="I388" i="3"/>
  <c r="I388" i="3" a="1"/>
  <c r="I387" i="3"/>
  <c r="I386" i="3"/>
  <c r="I385" i="3"/>
  <c r="I384" i="3"/>
  <c r="I383" i="3"/>
  <c r="I382" i="3"/>
  <c r="I381" i="3"/>
  <c r="I380" i="3"/>
  <c r="I379" i="3"/>
  <c r="I373" i="3"/>
  <c r="I372" i="3"/>
  <c r="I371" i="3"/>
  <c r="I370" i="3"/>
  <c r="I369" i="3"/>
  <c r="I368" i="3"/>
  <c r="I367" i="3"/>
  <c r="I366" i="3"/>
  <c r="I365" i="3"/>
  <c r="I364" i="3" a="1"/>
  <c r="I364" i="3" s="1"/>
  <c r="I363" i="3"/>
  <c r="I363" i="3" a="1"/>
  <c r="I362" i="3"/>
  <c r="I361" i="3"/>
  <c r="I360" i="3"/>
  <c r="I359" i="3"/>
  <c r="I358" i="3"/>
  <c r="I357" i="3"/>
  <c r="I356" i="3"/>
  <c r="I355" i="3"/>
  <c r="I354" i="3" a="1"/>
  <c r="I354" i="3" s="1"/>
  <c r="I353" i="3"/>
  <c r="I352" i="3"/>
  <c r="I351" i="3"/>
  <c r="I350" i="3"/>
  <c r="I349" i="3"/>
  <c r="I348" i="3"/>
  <c r="I347" i="3"/>
  <c r="I346" i="3"/>
  <c r="I345" i="3"/>
  <c r="I339" i="3"/>
  <c r="I338" i="3"/>
  <c r="I337" i="3"/>
  <c r="I336" i="3"/>
  <c r="I335" i="3"/>
  <c r="I334" i="3"/>
  <c r="I333" i="3"/>
  <c r="I332" i="3"/>
  <c r="I331" i="3"/>
  <c r="I330" i="3" a="1"/>
  <c r="I330" i="3" s="1"/>
  <c r="I329" i="3" a="1"/>
  <c r="I329" i="3" s="1"/>
  <c r="I328" i="3"/>
  <c r="I327" i="3"/>
  <c r="I326" i="3"/>
  <c r="I325" i="3"/>
  <c r="I324" i="3"/>
  <c r="I323" i="3"/>
  <c r="I322" i="3"/>
  <c r="I321" i="3"/>
  <c r="I320" i="3" a="1"/>
  <c r="I320" i="3" s="1"/>
  <c r="I319" i="3"/>
  <c r="I318" i="3"/>
  <c r="I317" i="3"/>
  <c r="I316" i="3"/>
  <c r="I315" i="3"/>
  <c r="I314" i="3"/>
  <c r="I313" i="3"/>
  <c r="I312" i="3"/>
  <c r="I311" i="3"/>
  <c r="I305" i="3"/>
  <c r="I304" i="3"/>
  <c r="I303" i="3"/>
  <c r="I302" i="3"/>
  <c r="I301" i="3"/>
  <c r="I300" i="3"/>
  <c r="I299" i="3"/>
  <c r="I298" i="3"/>
  <c r="I297" i="3"/>
  <c r="I296" i="3" a="1"/>
  <c r="I296" i="3" s="1"/>
  <c r="I295" i="3" a="1"/>
  <c r="I295" i="3" s="1"/>
  <c r="I292" i="3"/>
  <c r="I291" i="3"/>
  <c r="I290" i="3"/>
  <c r="I289" i="3"/>
  <c r="I288" i="3"/>
  <c r="I287" i="3"/>
  <c r="I286" i="3" a="1"/>
  <c r="I286" i="3" s="1"/>
  <c r="I285" i="3"/>
  <c r="I284" i="3"/>
  <c r="I283" i="3"/>
  <c r="I282" i="3"/>
  <c r="I281" i="3"/>
  <c r="I280" i="3"/>
  <c r="I279" i="3"/>
  <c r="I278" i="3"/>
  <c r="I277" i="3"/>
  <c r="I271" i="3"/>
  <c r="I270" i="3"/>
  <c r="I269" i="3"/>
  <c r="I268" i="3"/>
  <c r="I267" i="3"/>
  <c r="I266" i="3"/>
  <c r="I265" i="3"/>
  <c r="I264" i="3"/>
  <c r="I263" i="3"/>
  <c r="I262" i="3" a="1"/>
  <c r="I262" i="3" s="1"/>
  <c r="I261" i="3" a="1"/>
  <c r="I261" i="3" s="1"/>
  <c r="I258" i="3"/>
  <c r="I257" i="3"/>
  <c r="I256" i="3"/>
  <c r="I255" i="3"/>
  <c r="I254" i="3"/>
  <c r="I253" i="3"/>
  <c r="I252" i="3" a="1"/>
  <c r="I252" i="3" s="1"/>
  <c r="I251" i="3"/>
  <c r="I250" i="3"/>
  <c r="I249" i="3"/>
  <c r="I248" i="3"/>
  <c r="I247" i="3"/>
  <c r="I246" i="3"/>
  <c r="I245" i="3"/>
  <c r="I244" i="3"/>
  <c r="I243" i="3"/>
  <c r="I237" i="3"/>
  <c r="I236" i="3"/>
  <c r="I235" i="3"/>
  <c r="I234" i="3"/>
  <c r="I233" i="3"/>
  <c r="I232" i="3"/>
  <c r="I231" i="3"/>
  <c r="I230" i="3"/>
  <c r="I229" i="3"/>
  <c r="I228" i="3" a="1"/>
  <c r="I228" i="3" s="1"/>
  <c r="I227" i="3" a="1"/>
  <c r="I227" i="3" s="1"/>
  <c r="I224" i="3"/>
  <c r="I223" i="3"/>
  <c r="I222" i="3"/>
  <c r="I221" i="3"/>
  <c r="I220" i="3"/>
  <c r="I219" i="3"/>
  <c r="I218" i="3" a="1"/>
  <c r="I218" i="3" s="1"/>
  <c r="I217" i="3"/>
  <c r="I216" i="3"/>
  <c r="I215" i="3"/>
  <c r="I214" i="3"/>
  <c r="I213" i="3"/>
  <c r="I212" i="3"/>
  <c r="I211" i="3"/>
  <c r="I210" i="3"/>
  <c r="I209" i="3"/>
  <c r="I203" i="3"/>
  <c r="I202" i="3"/>
  <c r="I201" i="3"/>
  <c r="I200" i="3"/>
  <c r="I199" i="3"/>
  <c r="I198" i="3"/>
  <c r="I197" i="3"/>
  <c r="I196" i="3"/>
  <c r="I195" i="3"/>
  <c r="I194" i="3" a="1"/>
  <c r="I194" i="3" s="1"/>
  <c r="I193" i="3" a="1"/>
  <c r="I193" i="3" s="1"/>
  <c r="I190" i="3"/>
  <c r="I189" i="3"/>
  <c r="I188" i="3"/>
  <c r="I187" i="3"/>
  <c r="I186" i="3"/>
  <c r="I185" i="3"/>
  <c r="I184" i="3" a="1"/>
  <c r="I184" i="3" s="1"/>
  <c r="I183" i="3"/>
  <c r="I182" i="3"/>
  <c r="I181" i="3"/>
  <c r="I180" i="3"/>
  <c r="I179" i="3"/>
  <c r="I178" i="3"/>
  <c r="I177" i="3"/>
  <c r="I176" i="3"/>
  <c r="I175" i="3"/>
  <c r="I169" i="3"/>
  <c r="I168" i="3"/>
  <c r="I167" i="3"/>
  <c r="I166" i="3"/>
  <c r="I165" i="3"/>
  <c r="I164" i="3"/>
  <c r="I163" i="3"/>
  <c r="I162" i="3"/>
  <c r="I161" i="3"/>
  <c r="I160" i="3" a="1"/>
  <c r="I160" i="3" s="1"/>
  <c r="I159" i="3" a="1"/>
  <c r="I159" i="3" s="1"/>
  <c r="I156" i="3"/>
  <c r="I155" i="3"/>
  <c r="I154" i="3"/>
  <c r="I153" i="3"/>
  <c r="I152" i="3"/>
  <c r="I151" i="3"/>
  <c r="I150" i="3" a="1"/>
  <c r="I150" i="3" s="1"/>
  <c r="I149" i="3"/>
  <c r="I148" i="3"/>
  <c r="I147" i="3"/>
  <c r="I146" i="3"/>
  <c r="I145" i="3"/>
  <c r="I144" i="3"/>
  <c r="I143" i="3"/>
  <c r="I142" i="3"/>
  <c r="I141" i="3"/>
  <c r="I135" i="3"/>
  <c r="I134" i="3"/>
  <c r="I133" i="3"/>
  <c r="I132" i="3"/>
  <c r="I131" i="3"/>
  <c r="I130" i="3"/>
  <c r="I129" i="3"/>
  <c r="I128" i="3"/>
  <c r="I127" i="3"/>
  <c r="I126" i="3" a="1"/>
  <c r="I126" i="3" s="1"/>
  <c r="I125" i="3" a="1"/>
  <c r="I125" i="3" s="1"/>
  <c r="I122" i="3"/>
  <c r="I121" i="3"/>
  <c r="I120" i="3"/>
  <c r="I119" i="3"/>
  <c r="I118" i="3"/>
  <c r="I117" i="3"/>
  <c r="I116" i="3" a="1"/>
  <c r="I116" i="3" s="1"/>
  <c r="I115" i="3"/>
  <c r="I114" i="3"/>
  <c r="I113" i="3"/>
  <c r="I112" i="3"/>
  <c r="I111" i="3"/>
  <c r="I110" i="3"/>
  <c r="I109" i="3"/>
  <c r="I108" i="3"/>
  <c r="I107" i="3"/>
  <c r="I101" i="3"/>
  <c r="I100" i="3"/>
  <c r="I99" i="3"/>
  <c r="I98" i="3"/>
  <c r="I97" i="3"/>
  <c r="I96" i="3"/>
  <c r="I95" i="3"/>
  <c r="I94" i="3"/>
  <c r="I93" i="3"/>
  <c r="I92" i="3" a="1"/>
  <c r="I92" i="3" s="1"/>
  <c r="I91" i="3" a="1"/>
  <c r="I91" i="3" s="1"/>
  <c r="I88" i="3"/>
  <c r="I87" i="3"/>
  <c r="I86" i="3"/>
  <c r="I85" i="3"/>
  <c r="I84" i="3"/>
  <c r="I83" i="3"/>
  <c r="I82" i="3" a="1"/>
  <c r="I82" i="3" s="1"/>
  <c r="I81" i="3"/>
  <c r="I80" i="3"/>
  <c r="I79" i="3"/>
  <c r="I78" i="3"/>
  <c r="I77" i="3"/>
  <c r="I76" i="3"/>
  <c r="I75" i="3"/>
  <c r="I74" i="3"/>
  <c r="I73" i="3"/>
  <c r="I67" i="3"/>
  <c r="I66" i="3"/>
  <c r="I65" i="3"/>
  <c r="I64" i="3"/>
  <c r="I63" i="3"/>
  <c r="I62" i="3"/>
  <c r="I61" i="3"/>
  <c r="I60" i="3"/>
  <c r="I59" i="3"/>
  <c r="I58" i="3" a="1"/>
  <c r="I58" i="3" s="1"/>
  <c r="I57" i="3" a="1"/>
  <c r="I57" i="3" s="1"/>
  <c r="I54" i="3"/>
  <c r="I53" i="3"/>
  <c r="I52" i="3"/>
  <c r="I51" i="3"/>
  <c r="I50" i="3"/>
  <c r="I49" i="3"/>
  <c r="I48" i="3" a="1"/>
  <c r="I48" i="3" s="1"/>
  <c r="I47" i="3"/>
  <c r="I46" i="3"/>
  <c r="I45" i="3"/>
  <c r="I44" i="3"/>
  <c r="I43" i="3"/>
  <c r="I42" i="3"/>
  <c r="I41" i="3"/>
  <c r="I40" i="3"/>
  <c r="I39" i="3"/>
  <c r="I14" i="3" a="1"/>
  <c r="I14" i="3" s="1"/>
  <c r="I24" i="3" a="1"/>
  <c r="I24" i="3" s="1"/>
  <c r="I23" i="3" a="1"/>
  <c r="I23" i="3" s="1"/>
  <c r="C43" i="1" a="1"/>
  <c r="C43" i="1" s="1"/>
  <c r="C42" i="1" a="1"/>
  <c r="C42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B24" i="1" l="1" a="1"/>
  <c r="B24" i="1" s="1"/>
  <c r="D650" i="3"/>
  <c r="L680" i="3" s="1"/>
  <c r="D616" i="3"/>
  <c r="G615" i="3" s="1"/>
  <c r="D582" i="3"/>
  <c r="L612" i="3" s="1"/>
  <c r="D548" i="3"/>
  <c r="L578" i="3" s="1"/>
  <c r="D514" i="3"/>
  <c r="D480" i="3"/>
  <c r="D446" i="3"/>
  <c r="D412" i="3"/>
  <c r="D378" i="3"/>
  <c r="G377" i="3" s="1"/>
  <c r="D344" i="3"/>
  <c r="D310" i="3"/>
  <c r="D276" i="3"/>
  <c r="D242" i="3"/>
  <c r="D208" i="3"/>
  <c r="D174" i="3"/>
  <c r="D140" i="3"/>
  <c r="D106" i="3"/>
  <c r="D72" i="3"/>
  <c r="D38" i="3"/>
  <c r="D4" i="3"/>
  <c r="J680" i="3"/>
  <c r="G680" i="3"/>
  <c r="J679" i="3"/>
  <c r="G679" i="3"/>
  <c r="L678" i="3"/>
  <c r="J678" i="3" a="1"/>
  <c r="J678" i="3" s="1"/>
  <c r="G678" i="3"/>
  <c r="L677" i="3"/>
  <c r="J677" i="3"/>
  <c r="G677" i="3"/>
  <c r="J676" i="3"/>
  <c r="G676" i="3"/>
  <c r="L675" i="3"/>
  <c r="J675" i="3"/>
  <c r="G675" i="3"/>
  <c r="L674" i="3"/>
  <c r="J674" i="3"/>
  <c r="G674" i="3"/>
  <c r="L673" i="3"/>
  <c r="J673" i="3"/>
  <c r="G673" i="3"/>
  <c r="J672" i="3"/>
  <c r="G672" i="3"/>
  <c r="J671" i="3"/>
  <c r="G671" i="3"/>
  <c r="L670" i="3"/>
  <c r="J670" i="3" a="1"/>
  <c r="J670" i="3" s="1"/>
  <c r="G670" i="3" a="1"/>
  <c r="G670" i="3" s="1"/>
  <c r="L669" i="3"/>
  <c r="J669" i="3" a="1"/>
  <c r="J669" i="3" s="1"/>
  <c r="G669" i="3" a="1"/>
  <c r="G669" i="3" s="1"/>
  <c r="D669" i="3"/>
  <c r="G668" i="3"/>
  <c r="J668" i="3" s="1"/>
  <c r="D668" i="3"/>
  <c r="G667" i="3" a="1"/>
  <c r="G667" i="3" s="1"/>
  <c r="D667" i="3"/>
  <c r="J666" i="3"/>
  <c r="G666" i="3"/>
  <c r="D666" i="3"/>
  <c r="L665" i="3" s="1"/>
  <c r="D666" i="3" a="1"/>
  <c r="J665" i="3"/>
  <c r="G665" i="3"/>
  <c r="D665" i="3"/>
  <c r="L676" i="3" s="1"/>
  <c r="J664" i="3"/>
  <c r="G664" i="3"/>
  <c r="L663" i="3"/>
  <c r="J663" i="3"/>
  <c r="G663" i="3"/>
  <c r="D663" i="3" a="1"/>
  <c r="D663" i="3" s="1"/>
  <c r="L662" i="3"/>
  <c r="L664" i="3"/>
  <c r="J662" i="3"/>
  <c r="G662" i="3"/>
  <c r="L661" i="3"/>
  <c r="J661" i="3"/>
  <c r="G661" i="3"/>
  <c r="L660" i="3"/>
  <c r="J660" i="3" a="1"/>
  <c r="J660" i="3" s="1"/>
  <c r="G660" i="3"/>
  <c r="G660" i="3" a="1"/>
  <c r="L659" i="3"/>
  <c r="J659" i="3"/>
  <c r="G659" i="3"/>
  <c r="B659" i="3"/>
  <c r="B659" i="3" a="1"/>
  <c r="L658" i="3"/>
  <c r="J658" i="3"/>
  <c r="G658" i="3"/>
  <c r="L657" i="3"/>
  <c r="J657" i="3"/>
  <c r="G657" i="3"/>
  <c r="L656" i="3"/>
  <c r="J656" i="3"/>
  <c r="G656" i="3"/>
  <c r="L655" i="3"/>
  <c r="J655" i="3"/>
  <c r="G655" i="3"/>
  <c r="L654" i="3"/>
  <c r="J654" i="3"/>
  <c r="G654" i="3"/>
  <c r="L653" i="3"/>
  <c r="J653" i="3"/>
  <c r="G653" i="3"/>
  <c r="J652" i="3"/>
  <c r="G652" i="3"/>
  <c r="J651" i="3"/>
  <c r="G651" i="3"/>
  <c r="G649" i="3"/>
  <c r="J646" i="3"/>
  <c r="G646" i="3"/>
  <c r="J645" i="3"/>
  <c r="G645" i="3"/>
  <c r="L644" i="3"/>
  <c r="J644" i="3" a="1"/>
  <c r="J644" i="3" s="1"/>
  <c r="G644" i="3"/>
  <c r="L643" i="3"/>
  <c r="J643" i="3"/>
  <c r="G643" i="3"/>
  <c r="J642" i="3"/>
  <c r="G642" i="3"/>
  <c r="L641" i="3"/>
  <c r="J641" i="3"/>
  <c r="G641" i="3"/>
  <c r="L640" i="3"/>
  <c r="J640" i="3"/>
  <c r="G640" i="3"/>
  <c r="L639" i="3"/>
  <c r="J639" i="3"/>
  <c r="G639" i="3"/>
  <c r="J638" i="3"/>
  <c r="G638" i="3"/>
  <c r="J637" i="3"/>
  <c r="G637" i="3"/>
  <c r="L636" i="3"/>
  <c r="J636" i="3" a="1"/>
  <c r="J636" i="3" s="1"/>
  <c r="G636" i="3" a="1"/>
  <c r="G636" i="3" s="1"/>
  <c r="L635" i="3"/>
  <c r="J635" i="3" a="1"/>
  <c r="J635" i="3" s="1"/>
  <c r="G635" i="3"/>
  <c r="G635" i="3" a="1"/>
  <c r="D635" i="3"/>
  <c r="L634" i="3"/>
  <c r="G634" i="3"/>
  <c r="J634" i="3" s="1"/>
  <c r="D634" i="3"/>
  <c r="G633" i="3" a="1"/>
  <c r="G633" i="3" s="1"/>
  <c r="D633" i="3"/>
  <c r="J632" i="3"/>
  <c r="G632" i="3"/>
  <c r="D632" i="3"/>
  <c r="D632" i="3" a="1"/>
  <c r="J631" i="3"/>
  <c r="G631" i="3"/>
  <c r="D631" i="3"/>
  <c r="L631" i="3" s="1"/>
  <c r="J630" i="3"/>
  <c r="G630" i="3"/>
  <c r="L629" i="3"/>
  <c r="J629" i="3"/>
  <c r="G629" i="3"/>
  <c r="D629" i="3" a="1"/>
  <c r="D629" i="3" s="1"/>
  <c r="L628" i="3"/>
  <c r="L630" i="3"/>
  <c r="J628" i="3"/>
  <c r="G628" i="3"/>
  <c r="L627" i="3"/>
  <c r="J627" i="3"/>
  <c r="G627" i="3"/>
  <c r="L626" i="3"/>
  <c r="J626" i="3"/>
  <c r="J626" i="3" a="1"/>
  <c r="G626" i="3" a="1"/>
  <c r="G626" i="3" s="1"/>
  <c r="L625" i="3"/>
  <c r="J625" i="3"/>
  <c r="G625" i="3"/>
  <c r="B625" i="3"/>
  <c r="B625" i="3" a="1"/>
  <c r="L624" i="3"/>
  <c r="J624" i="3"/>
  <c r="G624" i="3"/>
  <c r="L623" i="3"/>
  <c r="J623" i="3"/>
  <c r="G623" i="3"/>
  <c r="L622" i="3"/>
  <c r="J622" i="3"/>
  <c r="G622" i="3"/>
  <c r="L621" i="3"/>
  <c r="J621" i="3"/>
  <c r="G621" i="3"/>
  <c r="L620" i="3"/>
  <c r="J620" i="3"/>
  <c r="G620" i="3"/>
  <c r="L619" i="3"/>
  <c r="J619" i="3"/>
  <c r="G619" i="3"/>
  <c r="J618" i="3"/>
  <c r="G618" i="3"/>
  <c r="J617" i="3"/>
  <c r="G617" i="3"/>
  <c r="J612" i="3"/>
  <c r="G612" i="3"/>
  <c r="J611" i="3"/>
  <c r="G611" i="3"/>
  <c r="L610" i="3"/>
  <c r="J610" i="3" a="1"/>
  <c r="J610" i="3" s="1"/>
  <c r="G610" i="3"/>
  <c r="L609" i="3"/>
  <c r="J609" i="3"/>
  <c r="G609" i="3"/>
  <c r="J608" i="3"/>
  <c r="G608" i="3"/>
  <c r="L607" i="3"/>
  <c r="J607" i="3"/>
  <c r="G607" i="3"/>
  <c r="L606" i="3"/>
  <c r="J606" i="3"/>
  <c r="G606" i="3"/>
  <c r="L605" i="3"/>
  <c r="J605" i="3"/>
  <c r="G605" i="3"/>
  <c r="J604" i="3"/>
  <c r="G604" i="3"/>
  <c r="J603" i="3"/>
  <c r="G603" i="3"/>
  <c r="L602" i="3"/>
  <c r="J602" i="3" a="1"/>
  <c r="J602" i="3" s="1"/>
  <c r="G602" i="3" a="1"/>
  <c r="G602" i="3" s="1"/>
  <c r="L601" i="3"/>
  <c r="J601" i="3" a="1"/>
  <c r="J601" i="3" s="1"/>
  <c r="G601" i="3"/>
  <c r="G601" i="3" a="1"/>
  <c r="D601" i="3"/>
  <c r="L600" i="3"/>
  <c r="G600" i="3"/>
  <c r="J600" i="3" s="1"/>
  <c r="D600" i="3"/>
  <c r="G599" i="3" a="1"/>
  <c r="G599" i="3" s="1"/>
  <c r="D599" i="3"/>
  <c r="J598" i="3"/>
  <c r="G598" i="3"/>
  <c r="D598" i="3"/>
  <c r="D598" i="3" a="1"/>
  <c r="J597" i="3"/>
  <c r="G597" i="3"/>
  <c r="D597" i="3"/>
  <c r="L597" i="3" s="1"/>
  <c r="J596" i="3"/>
  <c r="G596" i="3"/>
  <c r="L595" i="3"/>
  <c r="J595" i="3"/>
  <c r="G595" i="3"/>
  <c r="D595" i="3" a="1"/>
  <c r="D595" i="3" s="1"/>
  <c r="L596" i="3"/>
  <c r="J594" i="3"/>
  <c r="G594" i="3"/>
  <c r="L593" i="3"/>
  <c r="J593" i="3"/>
  <c r="G593" i="3"/>
  <c r="L592" i="3"/>
  <c r="J592" i="3" a="1"/>
  <c r="J592" i="3" s="1"/>
  <c r="G592" i="3" a="1"/>
  <c r="G592" i="3" s="1"/>
  <c r="L591" i="3"/>
  <c r="J591" i="3"/>
  <c r="G591" i="3"/>
  <c r="B591" i="3"/>
  <c r="B591" i="3" a="1"/>
  <c r="L590" i="3"/>
  <c r="J590" i="3"/>
  <c r="G590" i="3"/>
  <c r="L589" i="3"/>
  <c r="J589" i="3"/>
  <c r="G589" i="3"/>
  <c r="L588" i="3"/>
  <c r="J588" i="3"/>
  <c r="G588" i="3"/>
  <c r="L587" i="3"/>
  <c r="J587" i="3"/>
  <c r="G587" i="3"/>
  <c r="L586" i="3"/>
  <c r="J586" i="3"/>
  <c r="G586" i="3"/>
  <c r="L585" i="3"/>
  <c r="J585" i="3"/>
  <c r="G585" i="3"/>
  <c r="J584" i="3"/>
  <c r="G584" i="3"/>
  <c r="J583" i="3"/>
  <c r="G583" i="3"/>
  <c r="J578" i="3"/>
  <c r="G578" i="3"/>
  <c r="J577" i="3"/>
  <c r="G577" i="3"/>
  <c r="L576" i="3"/>
  <c r="J576" i="3" a="1"/>
  <c r="J576" i="3" s="1"/>
  <c r="G576" i="3"/>
  <c r="L575" i="3"/>
  <c r="J575" i="3"/>
  <c r="G575" i="3"/>
  <c r="J574" i="3"/>
  <c r="G574" i="3"/>
  <c r="L573" i="3"/>
  <c r="J573" i="3"/>
  <c r="G573" i="3"/>
  <c r="L572" i="3"/>
  <c r="J572" i="3"/>
  <c r="G572" i="3"/>
  <c r="L571" i="3"/>
  <c r="J571" i="3"/>
  <c r="G571" i="3"/>
  <c r="J570" i="3"/>
  <c r="G570" i="3"/>
  <c r="J569" i="3"/>
  <c r="G569" i="3"/>
  <c r="L568" i="3"/>
  <c r="J568" i="3" a="1"/>
  <c r="J568" i="3" s="1"/>
  <c r="G568" i="3" a="1"/>
  <c r="G568" i="3" s="1"/>
  <c r="L567" i="3"/>
  <c r="J567" i="3"/>
  <c r="J567" i="3" a="1"/>
  <c r="G567" i="3" a="1"/>
  <c r="G567" i="3" s="1"/>
  <c r="D567" i="3"/>
  <c r="L566" i="3"/>
  <c r="G566" i="3"/>
  <c r="J566" i="3" s="1"/>
  <c r="G565" i="3" a="1"/>
  <c r="G565" i="3" s="1"/>
  <c r="D565" i="3"/>
  <c r="J564" i="3"/>
  <c r="G564" i="3"/>
  <c r="D564" i="3"/>
  <c r="D564" i="3" a="1"/>
  <c r="J563" i="3"/>
  <c r="G563" i="3"/>
  <c r="D563" i="3"/>
  <c r="L563" i="3" s="1"/>
  <c r="J562" i="3"/>
  <c r="G562" i="3"/>
  <c r="L561" i="3"/>
  <c r="J561" i="3"/>
  <c r="G561" i="3"/>
  <c r="D561" i="3" a="1"/>
  <c r="D561" i="3" s="1"/>
  <c r="L562" i="3"/>
  <c r="J560" i="3"/>
  <c r="G560" i="3"/>
  <c r="L559" i="3"/>
  <c r="J559" i="3"/>
  <c r="G559" i="3"/>
  <c r="L558" i="3"/>
  <c r="J558" i="3" a="1"/>
  <c r="J558" i="3" s="1"/>
  <c r="G558" i="3" a="1"/>
  <c r="G558" i="3" s="1"/>
  <c r="L557" i="3"/>
  <c r="J557" i="3"/>
  <c r="G557" i="3"/>
  <c r="B557" i="3"/>
  <c r="B557" i="3" a="1"/>
  <c r="L556" i="3"/>
  <c r="J556" i="3"/>
  <c r="G556" i="3"/>
  <c r="L555" i="3"/>
  <c r="J555" i="3"/>
  <c r="G555" i="3"/>
  <c r="L554" i="3"/>
  <c r="J554" i="3"/>
  <c r="G554" i="3"/>
  <c r="L553" i="3"/>
  <c r="J553" i="3"/>
  <c r="G553" i="3"/>
  <c r="L552" i="3"/>
  <c r="J552" i="3"/>
  <c r="G552" i="3"/>
  <c r="L551" i="3"/>
  <c r="J551" i="3"/>
  <c r="G551" i="3"/>
  <c r="J550" i="3"/>
  <c r="G550" i="3"/>
  <c r="J549" i="3"/>
  <c r="G549" i="3"/>
  <c r="G547" i="3"/>
  <c r="L544" i="3"/>
  <c r="J544" i="3"/>
  <c r="G544" i="3"/>
  <c r="J543" i="3"/>
  <c r="G543" i="3"/>
  <c r="L542" i="3"/>
  <c r="J542" i="3" a="1"/>
  <c r="J542" i="3" s="1"/>
  <c r="G542" i="3"/>
  <c r="L541" i="3"/>
  <c r="J541" i="3"/>
  <c r="G541" i="3"/>
  <c r="J540" i="3"/>
  <c r="G540" i="3"/>
  <c r="L539" i="3"/>
  <c r="J539" i="3"/>
  <c r="G539" i="3"/>
  <c r="L538" i="3"/>
  <c r="J538" i="3"/>
  <c r="G538" i="3"/>
  <c r="L537" i="3"/>
  <c r="J537" i="3"/>
  <c r="G537" i="3"/>
  <c r="L536" i="3"/>
  <c r="J536" i="3"/>
  <c r="G536" i="3"/>
  <c r="J535" i="3"/>
  <c r="G535" i="3"/>
  <c r="L534" i="3"/>
  <c r="J534" i="3" a="1"/>
  <c r="J534" i="3" s="1"/>
  <c r="G534" i="3" a="1"/>
  <c r="G534" i="3" s="1"/>
  <c r="L533" i="3"/>
  <c r="J533" i="3" a="1"/>
  <c r="J533" i="3" s="1"/>
  <c r="G533" i="3"/>
  <c r="G533" i="3" a="1"/>
  <c r="D533" i="3"/>
  <c r="L532" i="3"/>
  <c r="G532" i="3"/>
  <c r="J532" i="3" s="1"/>
  <c r="G531" i="3" a="1"/>
  <c r="G531" i="3" s="1"/>
  <c r="D531" i="3"/>
  <c r="J530" i="3"/>
  <c r="G530" i="3"/>
  <c r="D530" i="3" a="1"/>
  <c r="D530" i="3" s="1"/>
  <c r="D532" i="3" s="1"/>
  <c r="J529" i="3"/>
  <c r="G529" i="3"/>
  <c r="D529" i="3"/>
  <c r="J528" i="3"/>
  <c r="G528" i="3"/>
  <c r="L527" i="3"/>
  <c r="J527" i="3"/>
  <c r="G527" i="3"/>
  <c r="D527" i="3" a="1"/>
  <c r="D527" i="3" s="1"/>
  <c r="L526" i="3"/>
  <c r="L528" i="3"/>
  <c r="J526" i="3"/>
  <c r="G526" i="3"/>
  <c r="L525" i="3"/>
  <c r="J525" i="3"/>
  <c r="G525" i="3"/>
  <c r="L524" i="3"/>
  <c r="J524" i="3" a="1"/>
  <c r="J524" i="3" s="1"/>
  <c r="G524" i="3" a="1"/>
  <c r="G524" i="3" s="1"/>
  <c r="L523" i="3"/>
  <c r="J523" i="3"/>
  <c r="G523" i="3"/>
  <c r="B523" i="3"/>
  <c r="B523" i="3" a="1"/>
  <c r="L522" i="3"/>
  <c r="J522" i="3"/>
  <c r="G522" i="3"/>
  <c r="L521" i="3"/>
  <c r="J521" i="3"/>
  <c r="G521" i="3"/>
  <c r="L520" i="3"/>
  <c r="J520" i="3"/>
  <c r="G520" i="3"/>
  <c r="L519" i="3"/>
  <c r="J519" i="3"/>
  <c r="G519" i="3"/>
  <c r="L518" i="3"/>
  <c r="J518" i="3"/>
  <c r="G518" i="3"/>
  <c r="L517" i="3"/>
  <c r="J517" i="3"/>
  <c r="G517" i="3"/>
  <c r="J516" i="3"/>
  <c r="G516" i="3"/>
  <c r="J515" i="3"/>
  <c r="G515" i="3"/>
  <c r="G513" i="3"/>
  <c r="L510" i="3"/>
  <c r="J510" i="3"/>
  <c r="G510" i="3"/>
  <c r="J509" i="3"/>
  <c r="G509" i="3"/>
  <c r="L508" i="3"/>
  <c r="J508" i="3" a="1"/>
  <c r="J508" i="3" s="1"/>
  <c r="G508" i="3"/>
  <c r="L507" i="3"/>
  <c r="J507" i="3"/>
  <c r="G507" i="3"/>
  <c r="J506" i="3"/>
  <c r="G506" i="3"/>
  <c r="L505" i="3"/>
  <c r="J505" i="3"/>
  <c r="G505" i="3"/>
  <c r="L504" i="3"/>
  <c r="J504" i="3"/>
  <c r="G504" i="3"/>
  <c r="L503" i="3"/>
  <c r="J503" i="3"/>
  <c r="G503" i="3"/>
  <c r="L502" i="3"/>
  <c r="J502" i="3"/>
  <c r="G502" i="3"/>
  <c r="L501" i="3"/>
  <c r="J501" i="3"/>
  <c r="G501" i="3"/>
  <c r="L500" i="3"/>
  <c r="J500" i="3" a="1"/>
  <c r="J500" i="3" s="1"/>
  <c r="G500" i="3" a="1"/>
  <c r="G500" i="3" s="1"/>
  <c r="L499" i="3"/>
  <c r="J499" i="3" a="1"/>
  <c r="J499" i="3" s="1"/>
  <c r="G499" i="3" a="1"/>
  <c r="G499" i="3" s="1"/>
  <c r="D499" i="3"/>
  <c r="G498" i="3"/>
  <c r="L498" i="3" s="1"/>
  <c r="G497" i="3"/>
  <c r="J497" i="3" s="1"/>
  <c r="G497" i="3" a="1"/>
  <c r="D497" i="3"/>
  <c r="J496" i="3"/>
  <c r="G496" i="3"/>
  <c r="D496" i="3"/>
  <c r="D496" i="3" a="1"/>
  <c r="J495" i="3"/>
  <c r="G495" i="3"/>
  <c r="D495" i="3"/>
  <c r="L509" i="3" s="1"/>
  <c r="J494" i="3"/>
  <c r="G494" i="3"/>
  <c r="L493" i="3"/>
  <c r="J493" i="3"/>
  <c r="G493" i="3"/>
  <c r="D493" i="3" a="1"/>
  <c r="D493" i="3" s="1"/>
  <c r="L492" i="3"/>
  <c r="J492" i="3"/>
  <c r="G492" i="3"/>
  <c r="L491" i="3"/>
  <c r="J491" i="3"/>
  <c r="G491" i="3"/>
  <c r="L490" i="3"/>
  <c r="J490" i="3" a="1"/>
  <c r="J490" i="3" s="1"/>
  <c r="G490" i="3" a="1"/>
  <c r="G490" i="3" s="1"/>
  <c r="L489" i="3"/>
  <c r="J489" i="3"/>
  <c r="G489" i="3"/>
  <c r="B489" i="3" a="1"/>
  <c r="B489" i="3" s="1"/>
  <c r="L488" i="3"/>
  <c r="J488" i="3"/>
  <c r="G488" i="3"/>
  <c r="L487" i="3"/>
  <c r="J487" i="3"/>
  <c r="G487" i="3"/>
  <c r="L486" i="3"/>
  <c r="J486" i="3"/>
  <c r="G486" i="3"/>
  <c r="L485" i="3"/>
  <c r="J485" i="3"/>
  <c r="G485" i="3"/>
  <c r="L484" i="3"/>
  <c r="J484" i="3"/>
  <c r="G484" i="3"/>
  <c r="L483" i="3"/>
  <c r="J483" i="3"/>
  <c r="G483" i="3"/>
  <c r="J482" i="3"/>
  <c r="G482" i="3"/>
  <c r="J481" i="3"/>
  <c r="G481" i="3"/>
  <c r="G479" i="3"/>
  <c r="L476" i="3"/>
  <c r="J476" i="3"/>
  <c r="G476" i="3"/>
  <c r="J475" i="3"/>
  <c r="G475" i="3"/>
  <c r="L474" i="3"/>
  <c r="J474" i="3" a="1"/>
  <c r="J474" i="3" s="1"/>
  <c r="G474" i="3"/>
  <c r="L473" i="3"/>
  <c r="J473" i="3"/>
  <c r="G473" i="3"/>
  <c r="J472" i="3"/>
  <c r="G472" i="3"/>
  <c r="L471" i="3"/>
  <c r="J471" i="3"/>
  <c r="G471" i="3"/>
  <c r="L470" i="3"/>
  <c r="J470" i="3"/>
  <c r="G470" i="3"/>
  <c r="L469" i="3"/>
  <c r="J469" i="3"/>
  <c r="G469" i="3"/>
  <c r="L468" i="3"/>
  <c r="J468" i="3"/>
  <c r="G468" i="3"/>
  <c r="J467" i="3"/>
  <c r="G467" i="3"/>
  <c r="L466" i="3"/>
  <c r="J466" i="3" a="1"/>
  <c r="J466" i="3" s="1"/>
  <c r="G466" i="3" a="1"/>
  <c r="G466" i="3" s="1"/>
  <c r="L465" i="3"/>
  <c r="J465" i="3" a="1"/>
  <c r="J465" i="3" s="1"/>
  <c r="G465" i="3" a="1"/>
  <c r="G465" i="3" s="1"/>
  <c r="D465" i="3"/>
  <c r="G464" i="3"/>
  <c r="J464" i="3" s="1"/>
  <c r="G463" i="3" a="1"/>
  <c r="G463" i="3" s="1"/>
  <c r="D463" i="3"/>
  <c r="J462" i="3"/>
  <c r="G462" i="3"/>
  <c r="D462" i="3" a="1"/>
  <c r="D462" i="3" s="1"/>
  <c r="J461" i="3"/>
  <c r="G461" i="3"/>
  <c r="D461" i="3"/>
  <c r="L472" i="3" s="1"/>
  <c r="J460" i="3"/>
  <c r="G460" i="3"/>
  <c r="L459" i="3"/>
  <c r="J459" i="3"/>
  <c r="G459" i="3"/>
  <c r="D459" i="3" a="1"/>
  <c r="D459" i="3" s="1"/>
  <c r="L458" i="3"/>
  <c r="L460" i="3"/>
  <c r="J458" i="3"/>
  <c r="G458" i="3"/>
  <c r="L457" i="3"/>
  <c r="J457" i="3"/>
  <c r="G457" i="3"/>
  <c r="L456" i="3"/>
  <c r="J456" i="3" a="1"/>
  <c r="J456" i="3" s="1"/>
  <c r="G456" i="3" a="1"/>
  <c r="G456" i="3" s="1"/>
  <c r="L455" i="3"/>
  <c r="J455" i="3"/>
  <c r="G455" i="3"/>
  <c r="B455" i="3" a="1"/>
  <c r="B455" i="3" s="1"/>
  <c r="L454" i="3"/>
  <c r="J454" i="3"/>
  <c r="G454" i="3"/>
  <c r="L453" i="3"/>
  <c r="J453" i="3"/>
  <c r="G453" i="3"/>
  <c r="L452" i="3"/>
  <c r="J452" i="3"/>
  <c r="G452" i="3"/>
  <c r="L451" i="3"/>
  <c r="J451" i="3"/>
  <c r="G451" i="3"/>
  <c r="L450" i="3"/>
  <c r="J450" i="3"/>
  <c r="G450" i="3"/>
  <c r="L449" i="3"/>
  <c r="J449" i="3"/>
  <c r="G449" i="3"/>
  <c r="J448" i="3"/>
  <c r="G448" i="3"/>
  <c r="J447" i="3"/>
  <c r="G447" i="3"/>
  <c r="G445" i="3"/>
  <c r="L442" i="3"/>
  <c r="J442" i="3"/>
  <c r="G442" i="3"/>
  <c r="L441" i="3"/>
  <c r="J441" i="3"/>
  <c r="G441" i="3"/>
  <c r="L440" i="3"/>
  <c r="J440" i="3" a="1"/>
  <c r="J440" i="3" s="1"/>
  <c r="G440" i="3"/>
  <c r="L439" i="3"/>
  <c r="J439" i="3"/>
  <c r="G439" i="3"/>
  <c r="J438" i="3"/>
  <c r="G438" i="3"/>
  <c r="L437" i="3"/>
  <c r="J437" i="3"/>
  <c r="G437" i="3"/>
  <c r="L436" i="3"/>
  <c r="J436" i="3"/>
  <c r="G436" i="3"/>
  <c r="L435" i="3"/>
  <c r="J435" i="3"/>
  <c r="G435" i="3"/>
  <c r="L434" i="3"/>
  <c r="J434" i="3"/>
  <c r="G434" i="3"/>
  <c r="J433" i="3"/>
  <c r="G433" i="3"/>
  <c r="L432" i="3"/>
  <c r="J432" i="3" a="1"/>
  <c r="J432" i="3" s="1"/>
  <c r="G432" i="3" a="1"/>
  <c r="G432" i="3" s="1"/>
  <c r="L431" i="3"/>
  <c r="J431" i="3" a="1"/>
  <c r="J431" i="3" s="1"/>
  <c r="G431" i="3" a="1"/>
  <c r="G431" i="3" s="1"/>
  <c r="D431" i="3"/>
  <c r="L430" i="3"/>
  <c r="G430" i="3"/>
  <c r="J430" i="3" s="1"/>
  <c r="G429" i="3"/>
  <c r="J429" i="3" s="1"/>
  <c r="G429" i="3" a="1"/>
  <c r="D429" i="3"/>
  <c r="J428" i="3"/>
  <c r="G428" i="3"/>
  <c r="D428" i="3" a="1"/>
  <c r="D428" i="3" s="1"/>
  <c r="J427" i="3"/>
  <c r="G427" i="3"/>
  <c r="D427" i="3"/>
  <c r="J426" i="3"/>
  <c r="G426" i="3"/>
  <c r="L425" i="3"/>
  <c r="J425" i="3"/>
  <c r="G425" i="3"/>
  <c r="D425" i="3" a="1"/>
  <c r="D425" i="3" s="1"/>
  <c r="L426" i="3"/>
  <c r="J424" i="3"/>
  <c r="G424" i="3"/>
  <c r="L423" i="3"/>
  <c r="J423" i="3"/>
  <c r="G423" i="3"/>
  <c r="L422" i="3"/>
  <c r="J422" i="3" a="1"/>
  <c r="J422" i="3" s="1"/>
  <c r="G422" i="3" a="1"/>
  <c r="G422" i="3" s="1"/>
  <c r="L421" i="3"/>
  <c r="J421" i="3"/>
  <c r="G421" i="3"/>
  <c r="B421" i="3" a="1"/>
  <c r="B421" i="3" s="1"/>
  <c r="L420" i="3"/>
  <c r="J420" i="3"/>
  <c r="G420" i="3"/>
  <c r="L419" i="3"/>
  <c r="J419" i="3"/>
  <c r="G419" i="3"/>
  <c r="L418" i="3"/>
  <c r="J418" i="3"/>
  <c r="G418" i="3"/>
  <c r="L417" i="3"/>
  <c r="J417" i="3"/>
  <c r="G417" i="3"/>
  <c r="L416" i="3"/>
  <c r="J416" i="3"/>
  <c r="G416" i="3"/>
  <c r="L415" i="3"/>
  <c r="J415" i="3"/>
  <c r="G415" i="3"/>
  <c r="J414" i="3"/>
  <c r="G414" i="3"/>
  <c r="J413" i="3"/>
  <c r="G413" i="3"/>
  <c r="G411" i="3"/>
  <c r="L408" i="3"/>
  <c r="J408" i="3"/>
  <c r="G408" i="3"/>
  <c r="L407" i="3"/>
  <c r="J407" i="3"/>
  <c r="G407" i="3"/>
  <c r="L406" i="3"/>
  <c r="J406" i="3" a="1"/>
  <c r="J406" i="3" s="1"/>
  <c r="G406" i="3"/>
  <c r="L405" i="3"/>
  <c r="J405" i="3"/>
  <c r="G405" i="3"/>
  <c r="J404" i="3"/>
  <c r="G404" i="3"/>
  <c r="L403" i="3"/>
  <c r="J403" i="3"/>
  <c r="G403" i="3"/>
  <c r="L402" i="3"/>
  <c r="J402" i="3"/>
  <c r="G402" i="3"/>
  <c r="L401" i="3"/>
  <c r="J401" i="3"/>
  <c r="G401" i="3"/>
  <c r="L400" i="3"/>
  <c r="J400" i="3"/>
  <c r="G400" i="3"/>
  <c r="L399" i="3"/>
  <c r="J399" i="3"/>
  <c r="G399" i="3"/>
  <c r="L398" i="3"/>
  <c r="J398" i="3" a="1"/>
  <c r="J398" i="3" s="1"/>
  <c r="G398" i="3" a="1"/>
  <c r="G398" i="3" s="1"/>
  <c r="L397" i="3"/>
  <c r="J397" i="3" a="1"/>
  <c r="J397" i="3" s="1"/>
  <c r="G397" i="3" a="1"/>
  <c r="G397" i="3" s="1"/>
  <c r="D397" i="3"/>
  <c r="G396" i="3"/>
  <c r="J396" i="3" s="1"/>
  <c r="G395" i="3"/>
  <c r="J395" i="3" s="1"/>
  <c r="G395" i="3" a="1"/>
  <c r="D395" i="3"/>
  <c r="J394" i="3"/>
  <c r="G394" i="3"/>
  <c r="D394" i="3" a="1"/>
  <c r="D394" i="3" s="1"/>
  <c r="J393" i="3"/>
  <c r="G393" i="3"/>
  <c r="D393" i="3"/>
  <c r="J392" i="3"/>
  <c r="G392" i="3"/>
  <c r="L391" i="3"/>
  <c r="J391" i="3"/>
  <c r="G391" i="3"/>
  <c r="D391" i="3" a="1"/>
  <c r="D391" i="3" s="1"/>
  <c r="L392" i="3"/>
  <c r="J390" i="3"/>
  <c r="G390" i="3"/>
  <c r="L389" i="3"/>
  <c r="J389" i="3"/>
  <c r="G389" i="3"/>
  <c r="L388" i="3"/>
  <c r="J388" i="3" a="1"/>
  <c r="J388" i="3" s="1"/>
  <c r="G388" i="3" a="1"/>
  <c r="G388" i="3" s="1"/>
  <c r="L387" i="3"/>
  <c r="J387" i="3"/>
  <c r="G387" i="3"/>
  <c r="B387" i="3" a="1"/>
  <c r="B387" i="3" s="1"/>
  <c r="L386" i="3"/>
  <c r="J386" i="3"/>
  <c r="G386" i="3"/>
  <c r="L385" i="3"/>
  <c r="J385" i="3"/>
  <c r="G385" i="3"/>
  <c r="L384" i="3"/>
  <c r="J384" i="3"/>
  <c r="G384" i="3"/>
  <c r="L383" i="3"/>
  <c r="J383" i="3"/>
  <c r="G383" i="3"/>
  <c r="L382" i="3"/>
  <c r="J382" i="3"/>
  <c r="G382" i="3"/>
  <c r="L381" i="3"/>
  <c r="J381" i="3"/>
  <c r="G381" i="3"/>
  <c r="J380" i="3"/>
  <c r="G380" i="3"/>
  <c r="J379" i="3"/>
  <c r="G379" i="3"/>
  <c r="L374" i="3"/>
  <c r="J374" i="3"/>
  <c r="G374" i="3"/>
  <c r="L373" i="3"/>
  <c r="J373" i="3"/>
  <c r="G373" i="3"/>
  <c r="L372" i="3"/>
  <c r="J372" i="3"/>
  <c r="J372" i="3" a="1"/>
  <c r="G372" i="3"/>
  <c r="L371" i="3"/>
  <c r="J371" i="3"/>
  <c r="G371" i="3"/>
  <c r="L370" i="3"/>
  <c r="J370" i="3"/>
  <c r="G370" i="3"/>
  <c r="L369" i="3"/>
  <c r="J369" i="3"/>
  <c r="G369" i="3"/>
  <c r="L368" i="3"/>
  <c r="J368" i="3"/>
  <c r="G368" i="3"/>
  <c r="L367" i="3"/>
  <c r="J367" i="3"/>
  <c r="G367" i="3"/>
  <c r="L366" i="3"/>
  <c r="J366" i="3"/>
  <c r="G366" i="3"/>
  <c r="L365" i="3"/>
  <c r="J365" i="3"/>
  <c r="G365" i="3"/>
  <c r="L364" i="3"/>
  <c r="J364" i="3" a="1"/>
  <c r="J364" i="3" s="1"/>
  <c r="G364" i="3" a="1"/>
  <c r="G364" i="3" s="1"/>
  <c r="L363" i="3"/>
  <c r="J363" i="3" a="1"/>
  <c r="J363" i="3" s="1"/>
  <c r="G363" i="3" a="1"/>
  <c r="G363" i="3" s="1"/>
  <c r="D363" i="3"/>
  <c r="L362" i="3"/>
  <c r="G362" i="3"/>
  <c r="J362" i="3" s="1"/>
  <c r="L361" i="3"/>
  <c r="G361" i="3"/>
  <c r="J361" i="3" s="1"/>
  <c r="G361" i="3" a="1"/>
  <c r="D361" i="3"/>
  <c r="J360" i="3"/>
  <c r="G360" i="3"/>
  <c r="D360" i="3" a="1"/>
  <c r="D360" i="3" s="1"/>
  <c r="J359" i="3"/>
  <c r="G359" i="3"/>
  <c r="D359" i="3"/>
  <c r="J358" i="3"/>
  <c r="G358" i="3"/>
  <c r="L357" i="3"/>
  <c r="J357" i="3"/>
  <c r="G357" i="3"/>
  <c r="D357" i="3" a="1"/>
  <c r="D357" i="3" s="1"/>
  <c r="L356" i="3"/>
  <c r="L358" i="3"/>
  <c r="J356" i="3"/>
  <c r="G356" i="3"/>
  <c r="L355" i="3"/>
  <c r="J355" i="3"/>
  <c r="G355" i="3"/>
  <c r="L354" i="3"/>
  <c r="J354" i="3" a="1"/>
  <c r="J354" i="3" s="1"/>
  <c r="G354" i="3" a="1"/>
  <c r="G354" i="3" s="1"/>
  <c r="L353" i="3"/>
  <c r="J353" i="3"/>
  <c r="G353" i="3"/>
  <c r="B353" i="3" a="1"/>
  <c r="B353" i="3" s="1"/>
  <c r="L352" i="3"/>
  <c r="J352" i="3"/>
  <c r="G352" i="3"/>
  <c r="L351" i="3"/>
  <c r="J351" i="3"/>
  <c r="G351" i="3"/>
  <c r="L350" i="3"/>
  <c r="J350" i="3"/>
  <c r="G350" i="3"/>
  <c r="L349" i="3"/>
  <c r="J349" i="3"/>
  <c r="G349" i="3"/>
  <c r="L348" i="3"/>
  <c r="J348" i="3"/>
  <c r="G348" i="3"/>
  <c r="L347" i="3"/>
  <c r="J347" i="3"/>
  <c r="G347" i="3"/>
  <c r="J346" i="3"/>
  <c r="G346" i="3"/>
  <c r="J345" i="3"/>
  <c r="G345" i="3"/>
  <c r="G343" i="3"/>
  <c r="C24" i="1" a="1"/>
  <c r="C2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319" i="3" a="1"/>
  <c r="B319" i="3" s="1"/>
  <c r="B285" i="3" a="1"/>
  <c r="B285" i="3" s="1"/>
  <c r="B251" i="3" a="1"/>
  <c r="B251" i="3" s="1"/>
  <c r="B217" i="3" a="1"/>
  <c r="B217" i="3" s="1"/>
  <c r="B183" i="3" a="1"/>
  <c r="B183" i="3" s="1"/>
  <c r="B149" i="3" a="1"/>
  <c r="B149" i="3" s="1"/>
  <c r="B115" i="3" a="1"/>
  <c r="B115" i="3" s="1"/>
  <c r="B81" i="3" a="1"/>
  <c r="B81" i="3" s="1"/>
  <c r="B47" i="3" a="1"/>
  <c r="B47" i="3" s="1"/>
  <c r="G309" i="3"/>
  <c r="G275" i="3"/>
  <c r="G241" i="3"/>
  <c r="G207" i="3"/>
  <c r="G173" i="3"/>
  <c r="G139" i="3"/>
  <c r="G105" i="3"/>
  <c r="G71" i="3"/>
  <c r="G37" i="3"/>
  <c r="D329" i="3"/>
  <c r="D327" i="3"/>
  <c r="D326" i="3" a="1"/>
  <c r="D326" i="3" s="1"/>
  <c r="D325" i="3"/>
  <c r="D323" i="3" a="1"/>
  <c r="D323" i="3" s="1"/>
  <c r="D295" i="3"/>
  <c r="D293" i="3"/>
  <c r="D292" i="3" a="1"/>
  <c r="D292" i="3" s="1"/>
  <c r="L291" i="3" s="1"/>
  <c r="D291" i="3"/>
  <c r="D294" i="3" s="1"/>
  <c r="D289" i="3" a="1"/>
  <c r="D289" i="3" s="1"/>
  <c r="D261" i="3"/>
  <c r="D259" i="3"/>
  <c r="D258" i="3" a="1"/>
  <c r="D258" i="3" s="1"/>
  <c r="D257" i="3"/>
  <c r="D255" i="3" a="1"/>
  <c r="D255" i="3" s="1"/>
  <c r="D256" i="3" s="1"/>
  <c r="D227" i="3"/>
  <c r="D225" i="3"/>
  <c r="D224" i="3" a="1"/>
  <c r="D224" i="3" s="1"/>
  <c r="D223" i="3"/>
  <c r="D221" i="3" a="1"/>
  <c r="D221" i="3" s="1"/>
  <c r="D222" i="3" s="1"/>
  <c r="D193" i="3"/>
  <c r="D191" i="3"/>
  <c r="D190" i="3" a="1"/>
  <c r="D190" i="3" s="1"/>
  <c r="D189" i="3"/>
  <c r="D187" i="3" a="1"/>
  <c r="D187" i="3" s="1"/>
  <c r="D188" i="3" s="1"/>
  <c r="D159" i="3"/>
  <c r="D157" i="3"/>
  <c r="D156" i="3" a="1"/>
  <c r="D156" i="3" s="1"/>
  <c r="D155" i="3"/>
  <c r="D153" i="3" a="1"/>
  <c r="D153" i="3" s="1"/>
  <c r="D154" i="3" s="1"/>
  <c r="D125" i="3"/>
  <c r="D123" i="3"/>
  <c r="D122" i="3" a="1"/>
  <c r="D122" i="3" s="1"/>
  <c r="D121" i="3"/>
  <c r="D119" i="3" a="1"/>
  <c r="D119" i="3" s="1"/>
  <c r="D120" i="3" s="1"/>
  <c r="D91" i="3"/>
  <c r="D89" i="3"/>
  <c r="D88" i="3" a="1"/>
  <c r="D88" i="3" s="1"/>
  <c r="D87" i="3"/>
  <c r="D85" i="3" a="1"/>
  <c r="D85" i="3" s="1"/>
  <c r="D86" i="3" s="1"/>
  <c r="D57" i="3"/>
  <c r="D55" i="3"/>
  <c r="D54" i="3" a="1"/>
  <c r="D54" i="3" s="1"/>
  <c r="D53" i="3"/>
  <c r="D51" i="3" a="1"/>
  <c r="D51" i="3" s="1"/>
  <c r="D52" i="3" s="1"/>
  <c r="L340" i="3"/>
  <c r="J340" i="3"/>
  <c r="G340" i="3"/>
  <c r="L339" i="3"/>
  <c r="J339" i="3"/>
  <c r="G339" i="3"/>
  <c r="L338" i="3"/>
  <c r="J338" i="3" a="1"/>
  <c r="J338" i="3" s="1"/>
  <c r="G338" i="3"/>
  <c r="L337" i="3"/>
  <c r="J337" i="3"/>
  <c r="G337" i="3"/>
  <c r="J336" i="3"/>
  <c r="G336" i="3"/>
  <c r="L335" i="3"/>
  <c r="J335" i="3"/>
  <c r="G335" i="3"/>
  <c r="L334" i="3"/>
  <c r="J334" i="3"/>
  <c r="G334" i="3"/>
  <c r="L333" i="3"/>
  <c r="J333" i="3"/>
  <c r="G333" i="3"/>
  <c r="L332" i="3"/>
  <c r="J332" i="3"/>
  <c r="G332" i="3"/>
  <c r="J331" i="3"/>
  <c r="G331" i="3"/>
  <c r="L330" i="3"/>
  <c r="J330" i="3" a="1"/>
  <c r="J330" i="3" s="1"/>
  <c r="G330" i="3"/>
  <c r="G330" i="3" a="1"/>
  <c r="L329" i="3"/>
  <c r="J329" i="3"/>
  <c r="J329" i="3" a="1"/>
  <c r="G329" i="3" a="1"/>
  <c r="G329" i="3" s="1"/>
  <c r="G328" i="3"/>
  <c r="L328" i="3" s="1"/>
  <c r="G327" i="3" a="1"/>
  <c r="G327" i="3" s="1"/>
  <c r="J326" i="3"/>
  <c r="G326" i="3"/>
  <c r="J325" i="3"/>
  <c r="G325" i="3"/>
  <c r="J324" i="3"/>
  <c r="G324" i="3"/>
  <c r="L323" i="3"/>
  <c r="J323" i="3"/>
  <c r="G323" i="3"/>
  <c r="L322" i="3"/>
  <c r="J322" i="3"/>
  <c r="G322" i="3"/>
  <c r="L321" i="3"/>
  <c r="J321" i="3"/>
  <c r="G321" i="3"/>
  <c r="L320" i="3"/>
  <c r="J320" i="3" a="1"/>
  <c r="J320" i="3" s="1"/>
  <c r="G320" i="3" a="1"/>
  <c r="G320" i="3" s="1"/>
  <c r="L319" i="3"/>
  <c r="J319" i="3"/>
  <c r="G319" i="3"/>
  <c r="L318" i="3"/>
  <c r="J318" i="3"/>
  <c r="G318" i="3"/>
  <c r="L317" i="3"/>
  <c r="J317" i="3"/>
  <c r="G317" i="3"/>
  <c r="L316" i="3"/>
  <c r="J316" i="3"/>
  <c r="G316" i="3"/>
  <c r="L315" i="3"/>
  <c r="J315" i="3"/>
  <c r="G315" i="3"/>
  <c r="L314" i="3"/>
  <c r="J314" i="3"/>
  <c r="G314" i="3"/>
  <c r="L313" i="3"/>
  <c r="J313" i="3"/>
  <c r="G313" i="3"/>
  <c r="J312" i="3"/>
  <c r="G312" i="3"/>
  <c r="J311" i="3"/>
  <c r="G311" i="3"/>
  <c r="L306" i="3"/>
  <c r="J306" i="3"/>
  <c r="G306" i="3"/>
  <c r="J305" i="3"/>
  <c r="G305" i="3"/>
  <c r="L304" i="3"/>
  <c r="J304" i="3" a="1"/>
  <c r="J304" i="3" s="1"/>
  <c r="G304" i="3"/>
  <c r="L303" i="3"/>
  <c r="J303" i="3"/>
  <c r="G303" i="3"/>
  <c r="J302" i="3"/>
  <c r="G302" i="3"/>
  <c r="L301" i="3"/>
  <c r="J301" i="3"/>
  <c r="G301" i="3"/>
  <c r="L300" i="3"/>
  <c r="J300" i="3"/>
  <c r="G300" i="3"/>
  <c r="L299" i="3"/>
  <c r="J299" i="3"/>
  <c r="G299" i="3"/>
  <c r="J298" i="3"/>
  <c r="G298" i="3"/>
  <c r="J297" i="3"/>
  <c r="G297" i="3"/>
  <c r="L296" i="3"/>
  <c r="J296" i="3" a="1"/>
  <c r="J296" i="3" s="1"/>
  <c r="G296" i="3" a="1"/>
  <c r="G296" i="3" s="1"/>
  <c r="L295" i="3"/>
  <c r="J295" i="3" a="1"/>
  <c r="J295" i="3" s="1"/>
  <c r="G295" i="3" a="1"/>
  <c r="G295" i="3" s="1"/>
  <c r="G294" i="3"/>
  <c r="G293" i="3" a="1"/>
  <c r="G293" i="3" s="1"/>
  <c r="I293" i="3" s="1"/>
  <c r="J292" i="3"/>
  <c r="G292" i="3"/>
  <c r="J291" i="3"/>
  <c r="G291" i="3"/>
  <c r="J290" i="3"/>
  <c r="G290" i="3"/>
  <c r="L289" i="3"/>
  <c r="J289" i="3"/>
  <c r="G289" i="3"/>
  <c r="L288" i="3"/>
  <c r="J288" i="3"/>
  <c r="G288" i="3"/>
  <c r="L287" i="3"/>
  <c r="J287" i="3"/>
  <c r="G287" i="3"/>
  <c r="L286" i="3"/>
  <c r="J286" i="3" a="1"/>
  <c r="J286" i="3" s="1"/>
  <c r="G286" i="3" a="1"/>
  <c r="G286" i="3" s="1"/>
  <c r="L285" i="3"/>
  <c r="J285" i="3"/>
  <c r="G285" i="3"/>
  <c r="L284" i="3"/>
  <c r="J284" i="3"/>
  <c r="G284" i="3"/>
  <c r="L283" i="3"/>
  <c r="J283" i="3"/>
  <c r="G283" i="3"/>
  <c r="L282" i="3"/>
  <c r="J282" i="3"/>
  <c r="G282" i="3"/>
  <c r="L281" i="3"/>
  <c r="J281" i="3"/>
  <c r="G281" i="3"/>
  <c r="L280" i="3"/>
  <c r="J280" i="3"/>
  <c r="G280" i="3"/>
  <c r="L279" i="3"/>
  <c r="J279" i="3"/>
  <c r="G279" i="3"/>
  <c r="J278" i="3"/>
  <c r="G278" i="3"/>
  <c r="J277" i="3"/>
  <c r="G277" i="3"/>
  <c r="L272" i="3"/>
  <c r="J272" i="3"/>
  <c r="G272" i="3"/>
  <c r="L271" i="3"/>
  <c r="J271" i="3"/>
  <c r="G271" i="3"/>
  <c r="L270" i="3"/>
  <c r="J270" i="3" a="1"/>
  <c r="J270" i="3" s="1"/>
  <c r="G270" i="3"/>
  <c r="L269" i="3"/>
  <c r="J269" i="3"/>
  <c r="G269" i="3"/>
  <c r="J268" i="3"/>
  <c r="G268" i="3"/>
  <c r="L267" i="3"/>
  <c r="J267" i="3"/>
  <c r="G267" i="3"/>
  <c r="L266" i="3"/>
  <c r="J266" i="3"/>
  <c r="G266" i="3"/>
  <c r="L265" i="3"/>
  <c r="J265" i="3"/>
  <c r="G265" i="3"/>
  <c r="L264" i="3"/>
  <c r="J264" i="3"/>
  <c r="G264" i="3"/>
  <c r="J263" i="3"/>
  <c r="G263" i="3"/>
  <c r="L262" i="3"/>
  <c r="J262" i="3" a="1"/>
  <c r="J262" i="3" s="1"/>
  <c r="G262" i="3" a="1"/>
  <c r="G262" i="3" s="1"/>
  <c r="L261" i="3"/>
  <c r="J261" i="3" a="1"/>
  <c r="J261" i="3" s="1"/>
  <c r="G261" i="3" a="1"/>
  <c r="G261" i="3" s="1"/>
  <c r="G260" i="3"/>
  <c r="G259" i="3" a="1"/>
  <c r="G259" i="3" s="1"/>
  <c r="I259" i="3" s="1"/>
  <c r="J258" i="3"/>
  <c r="G258" i="3"/>
  <c r="J257" i="3"/>
  <c r="G257" i="3"/>
  <c r="J256" i="3"/>
  <c r="G256" i="3"/>
  <c r="L255" i="3"/>
  <c r="J255" i="3"/>
  <c r="G255" i="3"/>
  <c r="L256" i="3"/>
  <c r="J254" i="3"/>
  <c r="G254" i="3"/>
  <c r="L253" i="3"/>
  <c r="J253" i="3"/>
  <c r="G253" i="3"/>
  <c r="L252" i="3"/>
  <c r="J252" i="3" a="1"/>
  <c r="J252" i="3" s="1"/>
  <c r="G252" i="3" a="1"/>
  <c r="G252" i="3" s="1"/>
  <c r="L251" i="3"/>
  <c r="J251" i="3"/>
  <c r="G251" i="3"/>
  <c r="L250" i="3"/>
  <c r="J250" i="3"/>
  <c r="G250" i="3"/>
  <c r="L249" i="3"/>
  <c r="J249" i="3"/>
  <c r="G249" i="3"/>
  <c r="L248" i="3"/>
  <c r="J248" i="3"/>
  <c r="G248" i="3"/>
  <c r="L247" i="3"/>
  <c r="J247" i="3"/>
  <c r="G247" i="3"/>
  <c r="L246" i="3"/>
  <c r="J246" i="3"/>
  <c r="G246" i="3"/>
  <c r="L245" i="3"/>
  <c r="J245" i="3"/>
  <c r="G245" i="3"/>
  <c r="J244" i="3"/>
  <c r="G244" i="3"/>
  <c r="J243" i="3"/>
  <c r="G243" i="3"/>
  <c r="L238" i="3"/>
  <c r="J238" i="3"/>
  <c r="G238" i="3"/>
  <c r="L237" i="3"/>
  <c r="J237" i="3"/>
  <c r="G237" i="3"/>
  <c r="L236" i="3"/>
  <c r="J236" i="3" a="1"/>
  <c r="J236" i="3" s="1"/>
  <c r="G236" i="3"/>
  <c r="L235" i="3"/>
  <c r="J235" i="3"/>
  <c r="G235" i="3"/>
  <c r="J234" i="3"/>
  <c r="G234" i="3"/>
  <c r="L233" i="3"/>
  <c r="J233" i="3"/>
  <c r="G233" i="3"/>
  <c r="L232" i="3"/>
  <c r="J232" i="3"/>
  <c r="G232" i="3"/>
  <c r="L231" i="3"/>
  <c r="J231" i="3"/>
  <c r="G231" i="3"/>
  <c r="L230" i="3"/>
  <c r="J230" i="3"/>
  <c r="G230" i="3"/>
  <c r="J229" i="3"/>
  <c r="G229" i="3"/>
  <c r="L228" i="3"/>
  <c r="J228" i="3" a="1"/>
  <c r="J228" i="3" s="1"/>
  <c r="G228" i="3" a="1"/>
  <c r="G228" i="3" s="1"/>
  <c r="L227" i="3"/>
  <c r="J227" i="3" a="1"/>
  <c r="J227" i="3" s="1"/>
  <c r="G227" i="3" a="1"/>
  <c r="G227" i="3" s="1"/>
  <c r="J226" i="3"/>
  <c r="G226" i="3"/>
  <c r="G225" i="3" a="1"/>
  <c r="G225" i="3" s="1"/>
  <c r="I225" i="3" s="1"/>
  <c r="J224" i="3"/>
  <c r="G224" i="3"/>
  <c r="J223" i="3"/>
  <c r="G223" i="3"/>
  <c r="J222" i="3"/>
  <c r="G222" i="3"/>
  <c r="L221" i="3"/>
  <c r="J221" i="3"/>
  <c r="G221" i="3"/>
  <c r="L220" i="3"/>
  <c r="J220" i="3"/>
  <c r="G220" i="3"/>
  <c r="L219" i="3"/>
  <c r="J219" i="3"/>
  <c r="G219" i="3"/>
  <c r="L218" i="3"/>
  <c r="J218" i="3" a="1"/>
  <c r="J218" i="3" s="1"/>
  <c r="G218" i="3"/>
  <c r="G218" i="3" a="1"/>
  <c r="L217" i="3"/>
  <c r="J217" i="3"/>
  <c r="G217" i="3"/>
  <c r="L216" i="3"/>
  <c r="J216" i="3"/>
  <c r="G216" i="3"/>
  <c r="L215" i="3"/>
  <c r="J215" i="3"/>
  <c r="G215" i="3"/>
  <c r="L214" i="3"/>
  <c r="J214" i="3"/>
  <c r="G214" i="3"/>
  <c r="L213" i="3"/>
  <c r="J213" i="3"/>
  <c r="G213" i="3"/>
  <c r="L212" i="3"/>
  <c r="J212" i="3"/>
  <c r="G212" i="3"/>
  <c r="L211" i="3"/>
  <c r="J211" i="3"/>
  <c r="G211" i="3"/>
  <c r="J210" i="3"/>
  <c r="G210" i="3"/>
  <c r="J209" i="3"/>
  <c r="G209" i="3"/>
  <c r="L204" i="3"/>
  <c r="J204" i="3"/>
  <c r="G204" i="3"/>
  <c r="L203" i="3"/>
  <c r="J203" i="3"/>
  <c r="G203" i="3"/>
  <c r="L202" i="3"/>
  <c r="J202" i="3" a="1"/>
  <c r="J202" i="3" s="1"/>
  <c r="G202" i="3"/>
  <c r="L201" i="3"/>
  <c r="J201" i="3"/>
  <c r="G201" i="3"/>
  <c r="J200" i="3"/>
  <c r="G200" i="3"/>
  <c r="L199" i="3"/>
  <c r="J199" i="3"/>
  <c r="G199" i="3"/>
  <c r="L198" i="3"/>
  <c r="J198" i="3"/>
  <c r="G198" i="3"/>
  <c r="L197" i="3"/>
  <c r="J197" i="3"/>
  <c r="G197" i="3"/>
  <c r="L196" i="3"/>
  <c r="J196" i="3"/>
  <c r="G196" i="3"/>
  <c r="J195" i="3"/>
  <c r="G195" i="3"/>
  <c r="L194" i="3"/>
  <c r="J194" i="3" a="1"/>
  <c r="J194" i="3" s="1"/>
  <c r="G194" i="3" a="1"/>
  <c r="G194" i="3" s="1"/>
  <c r="L193" i="3"/>
  <c r="J193" i="3" a="1"/>
  <c r="J193" i="3" s="1"/>
  <c r="G193" i="3" a="1"/>
  <c r="G193" i="3" s="1"/>
  <c r="G192" i="3"/>
  <c r="G191" i="3" a="1"/>
  <c r="G191" i="3" s="1"/>
  <c r="I191" i="3" s="1"/>
  <c r="J190" i="3"/>
  <c r="G190" i="3"/>
  <c r="J189" i="3"/>
  <c r="G189" i="3"/>
  <c r="J188" i="3"/>
  <c r="G188" i="3"/>
  <c r="L187" i="3"/>
  <c r="J187" i="3"/>
  <c r="G187" i="3"/>
  <c r="L186" i="3"/>
  <c r="J186" i="3"/>
  <c r="G186" i="3"/>
  <c r="L185" i="3"/>
  <c r="J185" i="3"/>
  <c r="G185" i="3"/>
  <c r="L184" i="3"/>
  <c r="J184" i="3" a="1"/>
  <c r="J184" i="3" s="1"/>
  <c r="G184" i="3" a="1"/>
  <c r="G184" i="3" s="1"/>
  <c r="L183" i="3"/>
  <c r="J183" i="3"/>
  <c r="G183" i="3"/>
  <c r="L182" i="3"/>
  <c r="J182" i="3"/>
  <c r="G182" i="3"/>
  <c r="L181" i="3"/>
  <c r="J181" i="3"/>
  <c r="G181" i="3"/>
  <c r="L180" i="3"/>
  <c r="J180" i="3"/>
  <c r="G180" i="3"/>
  <c r="L179" i="3"/>
  <c r="J179" i="3"/>
  <c r="G179" i="3"/>
  <c r="L178" i="3"/>
  <c r="J178" i="3"/>
  <c r="G178" i="3"/>
  <c r="L177" i="3"/>
  <c r="J177" i="3"/>
  <c r="G177" i="3"/>
  <c r="J176" i="3"/>
  <c r="G176" i="3"/>
  <c r="J175" i="3"/>
  <c r="G175" i="3"/>
  <c r="L170" i="3"/>
  <c r="J170" i="3"/>
  <c r="G170" i="3"/>
  <c r="L169" i="3"/>
  <c r="J169" i="3"/>
  <c r="G169" i="3"/>
  <c r="L168" i="3"/>
  <c r="J168" i="3" a="1"/>
  <c r="J168" i="3" s="1"/>
  <c r="G168" i="3"/>
  <c r="L167" i="3"/>
  <c r="J167" i="3"/>
  <c r="G167" i="3"/>
  <c r="J166" i="3"/>
  <c r="G166" i="3"/>
  <c r="L165" i="3"/>
  <c r="J165" i="3"/>
  <c r="G165" i="3"/>
  <c r="L164" i="3"/>
  <c r="J164" i="3"/>
  <c r="G164" i="3"/>
  <c r="L163" i="3"/>
  <c r="J163" i="3"/>
  <c r="G163" i="3"/>
  <c r="L162" i="3"/>
  <c r="J162" i="3"/>
  <c r="G162" i="3"/>
  <c r="J161" i="3"/>
  <c r="G161" i="3"/>
  <c r="L160" i="3"/>
  <c r="J160" i="3" a="1"/>
  <c r="J160" i="3" s="1"/>
  <c r="G160" i="3" a="1"/>
  <c r="G160" i="3" s="1"/>
  <c r="L159" i="3"/>
  <c r="J159" i="3" a="1"/>
  <c r="J159" i="3" s="1"/>
  <c r="G159" i="3" a="1"/>
  <c r="G159" i="3" s="1"/>
  <c r="G158" i="3"/>
  <c r="G157" i="3" a="1"/>
  <c r="G157" i="3" s="1"/>
  <c r="I157" i="3" s="1"/>
  <c r="J156" i="3"/>
  <c r="G156" i="3"/>
  <c r="J155" i="3"/>
  <c r="G155" i="3"/>
  <c r="J154" i="3"/>
  <c r="G154" i="3"/>
  <c r="L153" i="3"/>
  <c r="J153" i="3"/>
  <c r="G153" i="3"/>
  <c r="L154" i="3"/>
  <c r="J152" i="3"/>
  <c r="G152" i="3"/>
  <c r="L151" i="3"/>
  <c r="J151" i="3"/>
  <c r="G151" i="3"/>
  <c r="L150" i="3"/>
  <c r="J150" i="3" a="1"/>
  <c r="J150" i="3" s="1"/>
  <c r="G150" i="3" a="1"/>
  <c r="G150" i="3" s="1"/>
  <c r="L149" i="3"/>
  <c r="J149" i="3"/>
  <c r="G149" i="3"/>
  <c r="L148" i="3"/>
  <c r="J148" i="3"/>
  <c r="G148" i="3"/>
  <c r="L147" i="3"/>
  <c r="J147" i="3"/>
  <c r="G147" i="3"/>
  <c r="L146" i="3"/>
  <c r="J146" i="3"/>
  <c r="G146" i="3"/>
  <c r="L145" i="3"/>
  <c r="J145" i="3"/>
  <c r="G145" i="3"/>
  <c r="L144" i="3"/>
  <c r="J144" i="3"/>
  <c r="G144" i="3"/>
  <c r="L143" i="3"/>
  <c r="J143" i="3"/>
  <c r="G143" i="3"/>
  <c r="J142" i="3"/>
  <c r="G142" i="3"/>
  <c r="J141" i="3"/>
  <c r="G141" i="3"/>
  <c r="L136" i="3"/>
  <c r="J136" i="3"/>
  <c r="G136" i="3"/>
  <c r="L135" i="3"/>
  <c r="J135" i="3"/>
  <c r="G135" i="3"/>
  <c r="L134" i="3"/>
  <c r="J134" i="3" a="1"/>
  <c r="J134" i="3" s="1"/>
  <c r="G134" i="3"/>
  <c r="L133" i="3"/>
  <c r="J133" i="3"/>
  <c r="G133" i="3"/>
  <c r="J132" i="3"/>
  <c r="G132" i="3"/>
  <c r="L131" i="3"/>
  <c r="J131" i="3"/>
  <c r="G131" i="3"/>
  <c r="L130" i="3"/>
  <c r="J130" i="3"/>
  <c r="G130" i="3"/>
  <c r="L129" i="3"/>
  <c r="J129" i="3"/>
  <c r="G129" i="3"/>
  <c r="L128" i="3"/>
  <c r="J128" i="3"/>
  <c r="G128" i="3"/>
  <c r="J127" i="3"/>
  <c r="G127" i="3"/>
  <c r="L126" i="3"/>
  <c r="J126" i="3" a="1"/>
  <c r="J126" i="3" s="1"/>
  <c r="G126" i="3" a="1"/>
  <c r="G126" i="3" s="1"/>
  <c r="L125" i="3"/>
  <c r="J125" i="3" a="1"/>
  <c r="J125" i="3" s="1"/>
  <c r="G125" i="3" a="1"/>
  <c r="G125" i="3" s="1"/>
  <c r="G124" i="3"/>
  <c r="G123" i="3" a="1"/>
  <c r="G123" i="3" s="1"/>
  <c r="I123" i="3" s="1"/>
  <c r="J122" i="3"/>
  <c r="G122" i="3"/>
  <c r="J121" i="3"/>
  <c r="G121" i="3"/>
  <c r="J120" i="3"/>
  <c r="G120" i="3"/>
  <c r="L119" i="3"/>
  <c r="J119" i="3"/>
  <c r="G119" i="3"/>
  <c r="L118" i="3"/>
  <c r="J118" i="3"/>
  <c r="G118" i="3"/>
  <c r="L117" i="3"/>
  <c r="J117" i="3"/>
  <c r="G117" i="3"/>
  <c r="L116" i="3"/>
  <c r="J116" i="3" a="1"/>
  <c r="J116" i="3" s="1"/>
  <c r="G116" i="3" a="1"/>
  <c r="G116" i="3" s="1"/>
  <c r="L115" i="3"/>
  <c r="J115" i="3"/>
  <c r="G115" i="3"/>
  <c r="L114" i="3"/>
  <c r="J114" i="3"/>
  <c r="G114" i="3"/>
  <c r="L113" i="3"/>
  <c r="J113" i="3"/>
  <c r="G113" i="3"/>
  <c r="L112" i="3"/>
  <c r="J112" i="3"/>
  <c r="G112" i="3"/>
  <c r="L111" i="3"/>
  <c r="J111" i="3"/>
  <c r="G111" i="3"/>
  <c r="L110" i="3"/>
  <c r="J110" i="3"/>
  <c r="G110" i="3"/>
  <c r="L109" i="3"/>
  <c r="J109" i="3"/>
  <c r="G109" i="3"/>
  <c r="J108" i="3"/>
  <c r="G108" i="3"/>
  <c r="J107" i="3"/>
  <c r="G107" i="3"/>
  <c r="L102" i="3"/>
  <c r="J102" i="3"/>
  <c r="G102" i="3"/>
  <c r="L101" i="3"/>
  <c r="J101" i="3"/>
  <c r="G101" i="3"/>
  <c r="L100" i="3"/>
  <c r="J100" i="3" a="1"/>
  <c r="J100" i="3" s="1"/>
  <c r="G100" i="3"/>
  <c r="L99" i="3"/>
  <c r="J99" i="3"/>
  <c r="G99" i="3"/>
  <c r="J98" i="3"/>
  <c r="G98" i="3"/>
  <c r="L97" i="3"/>
  <c r="J97" i="3"/>
  <c r="G97" i="3"/>
  <c r="L96" i="3"/>
  <c r="J96" i="3"/>
  <c r="G96" i="3"/>
  <c r="L95" i="3"/>
  <c r="J95" i="3"/>
  <c r="G95" i="3"/>
  <c r="L94" i="3"/>
  <c r="J94" i="3"/>
  <c r="G94" i="3"/>
  <c r="J93" i="3"/>
  <c r="G93" i="3"/>
  <c r="L92" i="3"/>
  <c r="J92" i="3" a="1"/>
  <c r="J92" i="3" s="1"/>
  <c r="G92" i="3" a="1"/>
  <c r="G92" i="3" s="1"/>
  <c r="L91" i="3"/>
  <c r="J91" i="3" a="1"/>
  <c r="J91" i="3" s="1"/>
  <c r="G91" i="3" a="1"/>
  <c r="G91" i="3" s="1"/>
  <c r="G90" i="3"/>
  <c r="G89" i="3" a="1"/>
  <c r="G89" i="3" s="1"/>
  <c r="I89" i="3" s="1"/>
  <c r="J88" i="3"/>
  <c r="G88" i="3"/>
  <c r="J87" i="3"/>
  <c r="G87" i="3"/>
  <c r="J86" i="3"/>
  <c r="G86" i="3"/>
  <c r="L85" i="3"/>
  <c r="J85" i="3"/>
  <c r="G85" i="3"/>
  <c r="L84" i="3"/>
  <c r="J84" i="3"/>
  <c r="G84" i="3"/>
  <c r="L83" i="3"/>
  <c r="J83" i="3"/>
  <c r="G83" i="3"/>
  <c r="L82" i="3"/>
  <c r="J82" i="3" a="1"/>
  <c r="J82" i="3" s="1"/>
  <c r="G82" i="3" a="1"/>
  <c r="G82" i="3" s="1"/>
  <c r="L81" i="3"/>
  <c r="J81" i="3"/>
  <c r="G81" i="3"/>
  <c r="L80" i="3"/>
  <c r="J80" i="3"/>
  <c r="G80" i="3"/>
  <c r="L79" i="3"/>
  <c r="J79" i="3"/>
  <c r="G79" i="3"/>
  <c r="L78" i="3"/>
  <c r="J78" i="3"/>
  <c r="G78" i="3"/>
  <c r="L77" i="3"/>
  <c r="J77" i="3"/>
  <c r="G77" i="3"/>
  <c r="L76" i="3"/>
  <c r="J76" i="3"/>
  <c r="G76" i="3"/>
  <c r="L75" i="3"/>
  <c r="J75" i="3"/>
  <c r="G75" i="3"/>
  <c r="J74" i="3"/>
  <c r="G74" i="3"/>
  <c r="J73" i="3"/>
  <c r="G73" i="3"/>
  <c r="L68" i="3"/>
  <c r="J68" i="3"/>
  <c r="G68" i="3"/>
  <c r="L67" i="3"/>
  <c r="J67" i="3"/>
  <c r="G67" i="3"/>
  <c r="L66" i="3"/>
  <c r="J66" i="3" a="1"/>
  <c r="J66" i="3" s="1"/>
  <c r="G66" i="3"/>
  <c r="L65" i="3"/>
  <c r="J65" i="3"/>
  <c r="G65" i="3"/>
  <c r="J64" i="3"/>
  <c r="G64" i="3"/>
  <c r="L63" i="3"/>
  <c r="J63" i="3"/>
  <c r="G63" i="3"/>
  <c r="L62" i="3"/>
  <c r="J62" i="3"/>
  <c r="G62" i="3"/>
  <c r="L61" i="3"/>
  <c r="J61" i="3"/>
  <c r="G61" i="3"/>
  <c r="L60" i="3"/>
  <c r="J60" i="3"/>
  <c r="G60" i="3"/>
  <c r="L59" i="3"/>
  <c r="J59" i="3"/>
  <c r="G59" i="3"/>
  <c r="L58" i="3"/>
  <c r="J58" i="3" a="1"/>
  <c r="J58" i="3" s="1"/>
  <c r="G58" i="3" a="1"/>
  <c r="G58" i="3" s="1"/>
  <c r="L57" i="3"/>
  <c r="J57" i="3" a="1"/>
  <c r="J57" i="3" s="1"/>
  <c r="G57" i="3" a="1"/>
  <c r="G57" i="3" s="1"/>
  <c r="G56" i="3"/>
  <c r="G55" i="3" a="1"/>
  <c r="G55" i="3" s="1"/>
  <c r="I55" i="3" s="1"/>
  <c r="J54" i="3"/>
  <c r="G54" i="3"/>
  <c r="J53" i="3"/>
  <c r="G53" i="3"/>
  <c r="J52" i="3"/>
  <c r="G52" i="3"/>
  <c r="L51" i="3"/>
  <c r="J51" i="3"/>
  <c r="G51" i="3"/>
  <c r="L52" i="3"/>
  <c r="J50" i="3"/>
  <c r="G50" i="3"/>
  <c r="L49" i="3"/>
  <c r="J49" i="3"/>
  <c r="G49" i="3"/>
  <c r="L48" i="3"/>
  <c r="J48" i="3" a="1"/>
  <c r="J48" i="3" s="1"/>
  <c r="G48" i="3"/>
  <c r="G48" i="3" a="1"/>
  <c r="L47" i="3"/>
  <c r="J47" i="3"/>
  <c r="G47" i="3"/>
  <c r="L46" i="3"/>
  <c r="J46" i="3"/>
  <c r="G46" i="3"/>
  <c r="L45" i="3"/>
  <c r="J45" i="3"/>
  <c r="G45" i="3"/>
  <c r="L44" i="3"/>
  <c r="J44" i="3"/>
  <c r="G44" i="3"/>
  <c r="L43" i="3"/>
  <c r="J43" i="3"/>
  <c r="G43" i="3"/>
  <c r="L42" i="3"/>
  <c r="J42" i="3"/>
  <c r="G42" i="3"/>
  <c r="L41" i="3"/>
  <c r="J41" i="3"/>
  <c r="G41" i="3"/>
  <c r="J40" i="3"/>
  <c r="G40" i="3"/>
  <c r="J39" i="3"/>
  <c r="G39" i="3"/>
  <c r="I32" i="3"/>
  <c r="I31" i="3"/>
  <c r="I17" i="3"/>
  <c r="I33" i="3"/>
  <c r="I30" i="3"/>
  <c r="H33" i="3"/>
  <c r="I19" i="3"/>
  <c r="L254" i="3" l="1"/>
  <c r="L294" i="3"/>
  <c r="I294" i="3"/>
  <c r="J260" i="3"/>
  <c r="I260" i="3"/>
  <c r="L260" i="3"/>
  <c r="L226" i="3"/>
  <c r="I226" i="3"/>
  <c r="L192" i="3"/>
  <c r="I192" i="3"/>
  <c r="J158" i="3"/>
  <c r="I158" i="3"/>
  <c r="L124" i="3"/>
  <c r="I124" i="3"/>
  <c r="L90" i="3"/>
  <c r="I90" i="3"/>
  <c r="L50" i="3"/>
  <c r="L56" i="3"/>
  <c r="I56" i="3"/>
  <c r="D56" i="3"/>
  <c r="L54" i="3" s="1"/>
  <c r="J192" i="3"/>
  <c r="L668" i="3"/>
  <c r="L594" i="3"/>
  <c r="L560" i="3"/>
  <c r="D566" i="3"/>
  <c r="L494" i="3"/>
  <c r="L497" i="3"/>
  <c r="J498" i="3"/>
  <c r="J463" i="3"/>
  <c r="L463" i="3"/>
  <c r="L464" i="3"/>
  <c r="L424" i="3"/>
  <c r="L427" i="3"/>
  <c r="L429" i="3"/>
  <c r="L390" i="3"/>
  <c r="L395" i="3"/>
  <c r="L396" i="3"/>
  <c r="J259" i="3"/>
  <c r="J191" i="3"/>
  <c r="L191" i="3"/>
  <c r="L152" i="3"/>
  <c r="D158" i="3"/>
  <c r="J157" i="3"/>
  <c r="L158" i="3"/>
  <c r="D124" i="3"/>
  <c r="J123" i="3"/>
  <c r="L123" i="3"/>
  <c r="J124" i="3"/>
  <c r="J90" i="3"/>
  <c r="J56" i="3"/>
  <c r="O43" i="1" a="1"/>
  <c r="O43" i="1" s="1"/>
  <c r="N40" i="1" a="1"/>
  <c r="N40" i="1" s="1"/>
  <c r="L39" i="1" a="1"/>
  <c r="L39" i="1" s="1"/>
  <c r="M37" i="1" a="1"/>
  <c r="M37" i="1" s="1"/>
  <c r="O35" i="1" a="1"/>
  <c r="O35" i="1" s="1"/>
  <c r="N32" i="1" a="1"/>
  <c r="N32" i="1" s="1"/>
  <c r="L31" i="1" a="1"/>
  <c r="L31" i="1" s="1"/>
  <c r="L29" i="1" a="1"/>
  <c r="L29" i="1" s="1"/>
  <c r="L27" i="1" a="1"/>
  <c r="L27" i="1" s="1"/>
  <c r="L25" i="1" a="1"/>
  <c r="L25" i="1" s="1"/>
  <c r="J42" i="1" a="1"/>
  <c r="J42" i="1" s="1"/>
  <c r="J37" i="1" a="1"/>
  <c r="J37" i="1" s="1"/>
  <c r="J29" i="1" a="1"/>
  <c r="J29" i="1" s="1"/>
  <c r="G43" i="1" a="1"/>
  <c r="G43" i="1" s="1"/>
  <c r="K43" i="1" s="1" a="1"/>
  <c r="K43" i="1" s="1"/>
  <c r="I41" i="1" a="1"/>
  <c r="I41" i="1" s="1"/>
  <c r="F40" i="1" a="1"/>
  <c r="F40" i="1" s="1"/>
  <c r="H38" i="1" a="1"/>
  <c r="H38" i="1" s="1"/>
  <c r="E37" i="1" a="1"/>
  <c r="E37" i="1" s="1"/>
  <c r="G35" i="1" a="1"/>
  <c r="G35" i="1" s="1"/>
  <c r="K35" i="1" s="1" a="1"/>
  <c r="K35" i="1" s="1"/>
  <c r="I33" i="1" a="1"/>
  <c r="I33" i="1" s="1"/>
  <c r="F32" i="1" a="1"/>
  <c r="F32" i="1" s="1"/>
  <c r="H30" i="1" a="1"/>
  <c r="H30" i="1" s="1"/>
  <c r="E29" i="1" a="1"/>
  <c r="E29" i="1" s="1"/>
  <c r="G27" i="1" a="1"/>
  <c r="G27" i="1" s="1"/>
  <c r="K27" i="1" s="1" a="1"/>
  <c r="K27" i="1" s="1"/>
  <c r="I25" i="1" a="1"/>
  <c r="I25" i="1" s="1"/>
  <c r="E24" i="1" a="1"/>
  <c r="E24" i="1" s="1"/>
  <c r="D37" i="1" a="1"/>
  <c r="D37" i="1" s="1"/>
  <c r="D29" i="1" a="1"/>
  <c r="D29" i="1" s="1"/>
  <c r="O28" i="1" a="1"/>
  <c r="O28" i="1" s="1"/>
  <c r="J28" i="1" a="1"/>
  <c r="J28" i="1" s="1"/>
  <c r="G38" i="1" a="1"/>
  <c r="G38" i="1" s="1"/>
  <c r="K38" i="1" s="1" a="1"/>
  <c r="K38" i="1" s="1"/>
  <c r="E32" i="1" a="1"/>
  <c r="E32" i="1" s="1"/>
  <c r="H25" i="1" a="1"/>
  <c r="H25" i="1" s="1"/>
  <c r="N43" i="1" a="1"/>
  <c r="N43" i="1" s="1"/>
  <c r="L42" i="1" a="1"/>
  <c r="L42" i="1" s="1"/>
  <c r="M40" i="1" a="1"/>
  <c r="M40" i="1" s="1"/>
  <c r="O38" i="1" a="1"/>
  <c r="O38" i="1" s="1"/>
  <c r="N35" i="1" a="1"/>
  <c r="N35" i="1" s="1"/>
  <c r="L34" i="1" a="1"/>
  <c r="L34" i="1" s="1"/>
  <c r="M32" i="1" a="1"/>
  <c r="M32" i="1" s="1"/>
  <c r="O30" i="1" a="1"/>
  <c r="O30" i="1" s="1"/>
  <c r="O26" i="1" a="1"/>
  <c r="O26" i="1" s="1"/>
  <c r="J36" i="1" a="1"/>
  <c r="J36" i="1" s="1"/>
  <c r="E40" i="1" a="1"/>
  <c r="E40" i="1" s="1"/>
  <c r="H33" i="1" a="1"/>
  <c r="H33" i="1" s="1"/>
  <c r="F27" i="1" a="1"/>
  <c r="F27" i="1" s="1"/>
  <c r="M43" i="1" a="1"/>
  <c r="M43" i="1" s="1"/>
  <c r="O41" i="1" a="1"/>
  <c r="O41" i="1" s="1"/>
  <c r="N38" i="1" a="1"/>
  <c r="N38" i="1" s="1"/>
  <c r="L37" i="1" a="1"/>
  <c r="L37" i="1" s="1"/>
  <c r="M35" i="1" a="1"/>
  <c r="M35" i="1" s="1"/>
  <c r="O33" i="1" a="1"/>
  <c r="O33" i="1" s="1"/>
  <c r="N30" i="1" a="1"/>
  <c r="N30" i="1" s="1"/>
  <c r="N28" i="1" a="1"/>
  <c r="N28" i="1" s="1"/>
  <c r="N26" i="1" a="1"/>
  <c r="N26" i="1" s="1"/>
  <c r="N24" i="1" a="1"/>
  <c r="N24" i="1" s="1"/>
  <c r="J41" i="1" a="1"/>
  <c r="J41" i="1" s="1"/>
  <c r="J35" i="1" a="1"/>
  <c r="J35" i="1" s="1"/>
  <c r="J27" i="1" a="1"/>
  <c r="J27" i="1" s="1"/>
  <c r="E43" i="1" a="1"/>
  <c r="E43" i="1" s="1"/>
  <c r="G41" i="1" a="1"/>
  <c r="G41" i="1" s="1"/>
  <c r="K41" i="1" s="1" a="1"/>
  <c r="K41" i="1" s="1"/>
  <c r="I39" i="1" a="1"/>
  <c r="I39" i="1" s="1"/>
  <c r="F38" i="1" a="1"/>
  <c r="F38" i="1" s="1"/>
  <c r="H36" i="1" a="1"/>
  <c r="H36" i="1" s="1"/>
  <c r="E35" i="1" a="1"/>
  <c r="E35" i="1" s="1"/>
  <c r="G33" i="1" a="1"/>
  <c r="G33" i="1" s="1"/>
  <c r="K33" i="1" s="1" a="1"/>
  <c r="K33" i="1" s="1"/>
  <c r="I31" i="1" a="1"/>
  <c r="I31" i="1" s="1"/>
  <c r="F30" i="1" a="1"/>
  <c r="F30" i="1" s="1"/>
  <c r="H28" i="1" a="1"/>
  <c r="H28" i="1" s="1"/>
  <c r="E27" i="1" a="1"/>
  <c r="E27" i="1" s="1"/>
  <c r="G25" i="1" a="1"/>
  <c r="G25" i="1" s="1"/>
  <c r="K25" i="1" s="1" a="1"/>
  <c r="K25" i="1" s="1"/>
  <c r="D43" i="1" a="1"/>
  <c r="D43" i="1" s="1"/>
  <c r="D35" i="1" a="1"/>
  <c r="D35" i="1" s="1"/>
  <c r="D27" i="1" a="1"/>
  <c r="D27" i="1" s="1"/>
  <c r="J26" i="1" a="1"/>
  <c r="J26" i="1" s="1"/>
  <c r="F41" i="1" a="1"/>
  <c r="F41" i="1" s="1"/>
  <c r="E38" i="1" a="1"/>
  <c r="E38" i="1" s="1"/>
  <c r="I34" i="1" a="1"/>
  <c r="I34" i="1" s="1"/>
  <c r="H31" i="1" a="1"/>
  <c r="H31" i="1" s="1"/>
  <c r="G28" i="1" a="1"/>
  <c r="G28" i="1" s="1"/>
  <c r="K28" i="1" s="1" a="1"/>
  <c r="K28" i="1" s="1"/>
  <c r="I26" i="1" a="1"/>
  <c r="I26" i="1" s="1"/>
  <c r="D42" i="1" a="1"/>
  <c r="D42" i="1" s="1"/>
  <c r="D26" i="1" a="1"/>
  <c r="D26" i="1" s="1"/>
  <c r="L35" i="1" a="1"/>
  <c r="L35" i="1" s="1"/>
  <c r="O31" i="1" a="1"/>
  <c r="O31" i="1" s="1"/>
  <c r="L26" i="1" a="1"/>
  <c r="L26" i="1" s="1"/>
  <c r="J33" i="1" a="1"/>
  <c r="J33" i="1" s="1"/>
  <c r="H42" i="1" a="1"/>
  <c r="H42" i="1" s="1"/>
  <c r="I37" i="1" a="1"/>
  <c r="I37" i="1" s="1"/>
  <c r="E33" i="1" a="1"/>
  <c r="E33" i="1" s="1"/>
  <c r="I29" i="1" a="1"/>
  <c r="I29" i="1" s="1"/>
  <c r="E25" i="1" a="1"/>
  <c r="E25" i="1" s="1"/>
  <c r="D25" i="1" a="1"/>
  <c r="D25" i="1" s="1"/>
  <c r="D28" i="1" a="1"/>
  <c r="D28" i="1" s="1"/>
  <c r="N41" i="1" a="1"/>
  <c r="N41" i="1" s="1"/>
  <c r="L40" i="1" a="1"/>
  <c r="L40" i="1" s="1"/>
  <c r="M38" i="1" a="1"/>
  <c r="M38" i="1" s="1"/>
  <c r="O36" i="1" a="1"/>
  <c r="O36" i="1" s="1"/>
  <c r="N33" i="1" a="1"/>
  <c r="N33" i="1" s="1"/>
  <c r="L32" i="1" a="1"/>
  <c r="L32" i="1" s="1"/>
  <c r="M30" i="1" a="1"/>
  <c r="M30" i="1" s="1"/>
  <c r="M28" i="1" a="1"/>
  <c r="M28" i="1" s="1"/>
  <c r="M26" i="1" a="1"/>
  <c r="M26" i="1" s="1"/>
  <c r="M24" i="1" a="1"/>
  <c r="M24" i="1" s="1"/>
  <c r="J40" i="1" a="1"/>
  <c r="J40" i="1" s="1"/>
  <c r="J34" i="1" a="1"/>
  <c r="J34" i="1" s="1"/>
  <c r="I42" i="1" a="1"/>
  <c r="I42" i="1" s="1"/>
  <c r="H39" i="1" a="1"/>
  <c r="H39" i="1" s="1"/>
  <c r="G36" i="1" a="1"/>
  <c r="G36" i="1" s="1"/>
  <c r="K36" i="1" s="1" a="1"/>
  <c r="K36" i="1" s="1"/>
  <c r="F33" i="1" a="1"/>
  <c r="F33" i="1" s="1"/>
  <c r="E30" i="1" a="1"/>
  <c r="E30" i="1" s="1"/>
  <c r="F25" i="1" a="1"/>
  <c r="F25" i="1" s="1"/>
  <c r="D34" i="1" a="1"/>
  <c r="D34" i="1" s="1"/>
  <c r="O39" i="1" a="1"/>
  <c r="O39" i="1" s="1"/>
  <c r="L30" i="1" a="1"/>
  <c r="L30" i="1" s="1"/>
  <c r="J25" i="1" a="1"/>
  <c r="J25" i="1" s="1"/>
  <c r="G39" i="1" a="1"/>
  <c r="G39" i="1" s="1"/>
  <c r="K39" i="1" s="1" a="1"/>
  <c r="K39" i="1" s="1"/>
  <c r="F36" i="1" a="1"/>
  <c r="F36" i="1" s="1"/>
  <c r="G31" i="1" a="1"/>
  <c r="G31" i="1" s="1"/>
  <c r="K31" i="1" s="1" a="1"/>
  <c r="K31" i="1" s="1"/>
  <c r="H26" i="1" a="1"/>
  <c r="H26" i="1" s="1"/>
  <c r="D33" i="1" a="1"/>
  <c r="D33" i="1" s="1"/>
  <c r="L43" i="1" a="1"/>
  <c r="L43" i="1" s="1"/>
  <c r="M41" i="1" a="1"/>
  <c r="M41" i="1" s="1"/>
  <c r="N36" i="1" a="1"/>
  <c r="N36" i="1" s="1"/>
  <c r="M33" i="1" a="1"/>
  <c r="M33" i="1" s="1"/>
  <c r="L28" i="1" a="1"/>
  <c r="L28" i="1" s="1"/>
  <c r="L24" i="1" a="1"/>
  <c r="L24" i="1" s="1"/>
  <c r="E41" i="1" a="1"/>
  <c r="E41" i="1" s="1"/>
  <c r="H34" i="1" a="1"/>
  <c r="H34" i="1" s="1"/>
  <c r="F28" i="1" a="1"/>
  <c r="F28" i="1" s="1"/>
  <c r="D41" i="1" a="1"/>
  <c r="D41" i="1" s="1"/>
  <c r="O42" i="1" a="1"/>
  <c r="O42" i="1" s="1"/>
  <c r="N39" i="1" a="1"/>
  <c r="N39" i="1" s="1"/>
  <c r="L38" i="1" a="1"/>
  <c r="L38" i="1" s="1"/>
  <c r="M36" i="1" a="1"/>
  <c r="M36" i="1" s="1"/>
  <c r="O34" i="1" a="1"/>
  <c r="O34" i="1" s="1"/>
  <c r="N31" i="1" a="1"/>
  <c r="N31" i="1" s="1"/>
  <c r="O29" i="1" a="1"/>
  <c r="O29" i="1" s="1"/>
  <c r="O27" i="1" a="1"/>
  <c r="O27" i="1" s="1"/>
  <c r="O25" i="1" a="1"/>
  <c r="O25" i="1" s="1"/>
  <c r="J24" i="1" a="1"/>
  <c r="J24" i="1" s="1"/>
  <c r="J39" i="1" a="1"/>
  <c r="J39" i="1" s="1"/>
  <c r="J32" i="1" a="1"/>
  <c r="J32" i="1" s="1"/>
  <c r="I24" i="1" a="1"/>
  <c r="I24" i="1" s="1"/>
  <c r="G42" i="1" a="1"/>
  <c r="G42" i="1" s="1"/>
  <c r="K42" i="1" s="1" a="1"/>
  <c r="K42" i="1" s="1"/>
  <c r="I40" i="1" a="1"/>
  <c r="I40" i="1" s="1"/>
  <c r="F39" i="1" a="1"/>
  <c r="F39" i="1" s="1"/>
  <c r="H37" i="1" a="1"/>
  <c r="H37" i="1" s="1"/>
  <c r="E36" i="1" a="1"/>
  <c r="E36" i="1" s="1"/>
  <c r="G34" i="1" a="1"/>
  <c r="G34" i="1" s="1"/>
  <c r="K34" i="1" s="1" a="1"/>
  <c r="K34" i="1" s="1"/>
  <c r="I32" i="1" a="1"/>
  <c r="I32" i="1" s="1"/>
  <c r="F31" i="1" a="1"/>
  <c r="F31" i="1" s="1"/>
  <c r="H29" i="1" a="1"/>
  <c r="H29" i="1" s="1"/>
  <c r="E28" i="1" a="1"/>
  <c r="E28" i="1" s="1"/>
  <c r="G26" i="1" a="1"/>
  <c r="G26" i="1" s="1"/>
  <c r="K26" i="1" s="1" a="1"/>
  <c r="K26" i="1" s="1"/>
  <c r="H24" i="1" a="1"/>
  <c r="H24" i="1" s="1"/>
  <c r="D40" i="1" a="1"/>
  <c r="D40" i="1" s="1"/>
  <c r="D32" i="1" a="1"/>
  <c r="D32" i="1" s="1"/>
  <c r="O40" i="1" a="1"/>
  <c r="O40" i="1" s="1"/>
  <c r="N37" i="1" a="1"/>
  <c r="N37" i="1" s="1"/>
  <c r="M34" i="1" a="1"/>
  <c r="M34" i="1" s="1"/>
  <c r="M27" i="1" a="1"/>
  <c r="M27" i="1" s="1"/>
  <c r="J43" i="1" a="1"/>
  <c r="J43" i="1" s="1"/>
  <c r="J30" i="1" a="1"/>
  <c r="J30" i="1" s="1"/>
  <c r="E42" i="1" a="1"/>
  <c r="E42" i="1" s="1"/>
  <c r="I38" i="1" a="1"/>
  <c r="I38" i="1" s="1"/>
  <c r="H35" i="1" a="1"/>
  <c r="H35" i="1" s="1"/>
  <c r="G32" i="1" a="1"/>
  <c r="G32" i="1" s="1"/>
  <c r="K32" i="1" s="1" a="1"/>
  <c r="K32" i="1" s="1"/>
  <c r="F29" i="1" a="1"/>
  <c r="F29" i="1" s="1"/>
  <c r="E26" i="1" a="1"/>
  <c r="E26" i="1" s="1"/>
  <c r="D38" i="1" a="1"/>
  <c r="D38" i="1" s="1"/>
  <c r="H41" i="1" a="1"/>
  <c r="H41" i="1" s="1"/>
  <c r="F35" i="1" a="1"/>
  <c r="F35" i="1" s="1"/>
  <c r="G30" i="1" a="1"/>
  <c r="G30" i="1" s="1"/>
  <c r="K30" i="1" s="1" a="1"/>
  <c r="K30" i="1" s="1"/>
  <c r="D24" i="1" a="1"/>
  <c r="D24" i="1" s="1"/>
  <c r="N42" i="1" a="1"/>
  <c r="N42" i="1" s="1"/>
  <c r="L41" i="1" a="1"/>
  <c r="L41" i="1" s="1"/>
  <c r="M39" i="1" a="1"/>
  <c r="M39" i="1" s="1"/>
  <c r="O37" i="1" a="1"/>
  <c r="O37" i="1" s="1"/>
  <c r="N34" i="1" a="1"/>
  <c r="N34" i="1" s="1"/>
  <c r="L33" i="1" a="1"/>
  <c r="L33" i="1" s="1"/>
  <c r="M31" i="1" a="1"/>
  <c r="M31" i="1" s="1"/>
  <c r="N29" i="1" a="1"/>
  <c r="N29" i="1" s="1"/>
  <c r="N27" i="1" a="1"/>
  <c r="N27" i="1" s="1"/>
  <c r="N25" i="1" a="1"/>
  <c r="N25" i="1" s="1"/>
  <c r="J38" i="1" a="1"/>
  <c r="J38" i="1" s="1"/>
  <c r="J31" i="1" a="1"/>
  <c r="J31" i="1" s="1"/>
  <c r="I43" i="1" a="1"/>
  <c r="I43" i="1" s="1"/>
  <c r="F42" i="1" a="1"/>
  <c r="F42" i="1" s="1"/>
  <c r="H40" i="1" a="1"/>
  <c r="H40" i="1" s="1"/>
  <c r="E39" i="1" a="1"/>
  <c r="E39" i="1" s="1"/>
  <c r="G37" i="1" a="1"/>
  <c r="G37" i="1" s="1"/>
  <c r="K37" i="1" s="1" a="1"/>
  <c r="K37" i="1" s="1"/>
  <c r="I35" i="1" a="1"/>
  <c r="I35" i="1" s="1"/>
  <c r="F34" i="1" a="1"/>
  <c r="F34" i="1" s="1"/>
  <c r="H32" i="1" a="1"/>
  <c r="H32" i="1" s="1"/>
  <c r="E31" i="1" a="1"/>
  <c r="E31" i="1" s="1"/>
  <c r="G29" i="1" a="1"/>
  <c r="G29" i="1" s="1"/>
  <c r="K29" i="1" s="1" a="1"/>
  <c r="K29" i="1" s="1"/>
  <c r="I27" i="1" a="1"/>
  <c r="I27" i="1" s="1"/>
  <c r="F26" i="1" a="1"/>
  <c r="F26" i="1" s="1"/>
  <c r="G24" i="1" a="1"/>
  <c r="G24" i="1" s="1"/>
  <c r="K24" i="1" s="1" a="1"/>
  <c r="K24" i="1" s="1"/>
  <c r="D39" i="1" a="1"/>
  <c r="D39" i="1" s="1"/>
  <c r="D31" i="1" a="1"/>
  <c r="D31" i="1" s="1"/>
  <c r="M42" i="1" a="1"/>
  <c r="M42" i="1" s="1"/>
  <c r="L36" i="1" a="1"/>
  <c r="L36" i="1" s="1"/>
  <c r="O32" i="1" a="1"/>
  <c r="O32" i="1" s="1"/>
  <c r="M29" i="1" a="1"/>
  <c r="M29" i="1" s="1"/>
  <c r="M25" i="1" a="1"/>
  <c r="M25" i="1" s="1"/>
  <c r="H43" i="1" a="1"/>
  <c r="H43" i="1" s="1"/>
  <c r="G40" i="1" a="1"/>
  <c r="G40" i="1" s="1"/>
  <c r="K40" i="1" s="1" a="1"/>
  <c r="K40" i="1" s="1"/>
  <c r="F37" i="1" a="1"/>
  <c r="F37" i="1" s="1"/>
  <c r="E34" i="1" a="1"/>
  <c r="E34" i="1" s="1"/>
  <c r="I30" i="1" a="1"/>
  <c r="I30" i="1" s="1"/>
  <c r="H27" i="1" a="1"/>
  <c r="H27" i="1" s="1"/>
  <c r="F24" i="1" a="1"/>
  <c r="F24" i="1" s="1"/>
  <c r="D30" i="1" a="1"/>
  <c r="D30" i="1" s="1"/>
  <c r="O24" i="1" a="1"/>
  <c r="O24" i="1" s="1"/>
  <c r="F43" i="1" a="1"/>
  <c r="F43" i="1" s="1"/>
  <c r="I36" i="1" a="1"/>
  <c r="I36" i="1" s="1"/>
  <c r="I28" i="1" a="1"/>
  <c r="I28" i="1" s="1"/>
  <c r="D36" i="1" a="1"/>
  <c r="D36" i="1" s="1"/>
  <c r="L646" i="3"/>
  <c r="G581" i="3"/>
  <c r="L359" i="3"/>
  <c r="L393" i="3"/>
  <c r="L438" i="3"/>
  <c r="L530" i="3"/>
  <c r="L516" i="3"/>
  <c r="L515" i="3"/>
  <c r="H513" i="3"/>
  <c r="L461" i="3"/>
  <c r="L467" i="3"/>
  <c r="L475" i="3"/>
  <c r="L583" i="3"/>
  <c r="L598" i="3"/>
  <c r="L584" i="3"/>
  <c r="H581" i="3"/>
  <c r="J531" i="3"/>
  <c r="D362" i="3"/>
  <c r="D396" i="3"/>
  <c r="L394" i="3" s="1"/>
  <c r="D430" i="3"/>
  <c r="D464" i="3"/>
  <c r="L506" i="3"/>
  <c r="D498" i="3"/>
  <c r="L496" i="3" s="1"/>
  <c r="L529" i="3"/>
  <c r="L540" i="3"/>
  <c r="L535" i="3"/>
  <c r="L543" i="3"/>
  <c r="L531" i="3"/>
  <c r="L617" i="3"/>
  <c r="L632" i="3"/>
  <c r="L618" i="3"/>
  <c r="H615" i="3"/>
  <c r="L599" i="3"/>
  <c r="J599" i="3"/>
  <c r="L404" i="3"/>
  <c r="L433" i="3"/>
  <c r="L565" i="3"/>
  <c r="J565" i="3"/>
  <c r="L667" i="3"/>
  <c r="J667" i="3"/>
  <c r="L549" i="3"/>
  <c r="L564" i="3"/>
  <c r="L550" i="3"/>
  <c r="H547" i="3"/>
  <c r="L651" i="3"/>
  <c r="L666" i="3"/>
  <c r="L652" i="3"/>
  <c r="H649" i="3"/>
  <c r="L495" i="3"/>
  <c r="L633" i="3"/>
  <c r="J633" i="3"/>
  <c r="L577" i="3"/>
  <c r="L611" i="3"/>
  <c r="L645" i="3"/>
  <c r="L679" i="3"/>
  <c r="L570" i="3"/>
  <c r="L604" i="3"/>
  <c r="L638" i="3"/>
  <c r="L672" i="3"/>
  <c r="L569" i="3"/>
  <c r="L574" i="3"/>
  <c r="L603" i="3"/>
  <c r="L608" i="3"/>
  <c r="L637" i="3"/>
  <c r="L642" i="3"/>
  <c r="L671" i="3"/>
  <c r="L157" i="3"/>
  <c r="L331" i="3"/>
  <c r="L325" i="3"/>
  <c r="D328" i="3"/>
  <c r="L336" i="3"/>
  <c r="L292" i="3"/>
  <c r="L278" i="3"/>
  <c r="H275" i="3"/>
  <c r="L277" i="3"/>
  <c r="L298" i="3"/>
  <c r="L297" i="3"/>
  <c r="L302" i="3"/>
  <c r="L305" i="3"/>
  <c r="D260" i="3"/>
  <c r="L268" i="3"/>
  <c r="L257" i="3"/>
  <c r="L263" i="3"/>
  <c r="L234" i="3"/>
  <c r="D226" i="3"/>
  <c r="L223" i="3"/>
  <c r="L229" i="3"/>
  <c r="D192" i="3"/>
  <c r="L195" i="3"/>
  <c r="L200" i="3"/>
  <c r="L189" i="3"/>
  <c r="H139" i="3"/>
  <c r="L142" i="3"/>
  <c r="L141" i="3"/>
  <c r="L156" i="3"/>
  <c r="L161" i="3"/>
  <c r="L155" i="3"/>
  <c r="L166" i="3"/>
  <c r="L107" i="3"/>
  <c r="L122" i="3"/>
  <c r="L108" i="3"/>
  <c r="H105" i="3"/>
  <c r="L132" i="3"/>
  <c r="L121" i="3"/>
  <c r="L127" i="3"/>
  <c r="D90" i="3"/>
  <c r="L87" i="3"/>
  <c r="L93" i="3"/>
  <c r="L98" i="3"/>
  <c r="H37" i="3"/>
  <c r="L40" i="3"/>
  <c r="L39" i="3"/>
  <c r="L64" i="3"/>
  <c r="L53" i="3"/>
  <c r="J327" i="3"/>
  <c r="L327" i="3"/>
  <c r="L324" i="3"/>
  <c r="J328" i="3"/>
  <c r="J293" i="3"/>
  <c r="L293" i="3"/>
  <c r="L290" i="3"/>
  <c r="J294" i="3"/>
  <c r="L259" i="3"/>
  <c r="J225" i="3"/>
  <c r="L225" i="3"/>
  <c r="L222" i="3"/>
  <c r="L188" i="3"/>
  <c r="L120" i="3"/>
  <c r="J89" i="3"/>
  <c r="L89" i="3"/>
  <c r="L86" i="3"/>
  <c r="J55" i="3"/>
  <c r="L55" i="3"/>
  <c r="H32" i="3"/>
  <c r="H31" i="3" a="1"/>
  <c r="H31" i="3" s="1"/>
  <c r="H30" i="3"/>
  <c r="I28" i="3"/>
  <c r="I16" i="3"/>
  <c r="I26" i="3"/>
  <c r="H28" i="3" a="1"/>
  <c r="H28" i="3" s="1"/>
  <c r="I29" i="3"/>
  <c r="I27" i="3"/>
  <c r="H29" i="3"/>
  <c r="H27" i="3"/>
  <c r="I25" i="3"/>
  <c r="H26" i="3" a="1"/>
  <c r="H26" i="3" s="1"/>
  <c r="H25" i="3"/>
  <c r="K28" i="3"/>
  <c r="L482" i="3" l="1"/>
  <c r="L481" i="3"/>
  <c r="H479" i="3"/>
  <c r="L462" i="3"/>
  <c r="L448" i="3"/>
  <c r="H445" i="3"/>
  <c r="L447" i="3"/>
  <c r="L428" i="3"/>
  <c r="L413" i="3"/>
  <c r="L414" i="3"/>
  <c r="H411" i="3"/>
  <c r="L379" i="3"/>
  <c r="L380" i="3"/>
  <c r="H377" i="3"/>
  <c r="L360" i="3"/>
  <c r="L346" i="3"/>
  <c r="H343" i="3"/>
  <c r="L345" i="3"/>
  <c r="H309" i="3"/>
  <c r="L312" i="3"/>
  <c r="L326" i="3"/>
  <c r="L311" i="3"/>
  <c r="L258" i="3"/>
  <c r="L243" i="3"/>
  <c r="L244" i="3"/>
  <c r="H241" i="3"/>
  <c r="H207" i="3"/>
  <c r="L224" i="3"/>
  <c r="L209" i="3"/>
  <c r="L210" i="3"/>
  <c r="H173" i="3"/>
  <c r="L175" i="3"/>
  <c r="L176" i="3"/>
  <c r="L190" i="3"/>
  <c r="H71" i="3"/>
  <c r="L74" i="3"/>
  <c r="L73" i="3"/>
  <c r="L88" i="3"/>
  <c r="H5" i="3"/>
  <c r="I20" i="3" l="1"/>
  <c r="H24" i="3" a="1"/>
  <c r="H24" i="3" s="1"/>
  <c r="H23" i="3" a="1"/>
  <c r="H23" i="3" s="1"/>
  <c r="G21" i="3" a="1"/>
  <c r="G21" i="3" s="1"/>
  <c r="H21" i="3" s="1" a="1"/>
  <c r="H21" i="3" s="1"/>
  <c r="J13" i="3"/>
  <c r="I15" i="3"/>
  <c r="J15" i="3"/>
  <c r="I18" i="3"/>
  <c r="I12" i="3"/>
  <c r="I5" i="3"/>
  <c r="I6" i="3"/>
  <c r="J6" i="3"/>
  <c r="I7" i="3"/>
  <c r="I8" i="3"/>
  <c r="I9" i="3"/>
  <c r="I10" i="3"/>
  <c r="I11" i="3"/>
  <c r="I13" i="3"/>
  <c r="J14" i="3" a="1"/>
  <c r="J14" i="3" s="1"/>
  <c r="K24" i="3" a="1"/>
  <c r="K24" i="3" s="1"/>
  <c r="L24" i="3" s="1"/>
  <c r="K23" i="3" a="1"/>
  <c r="K23" i="3" s="1"/>
  <c r="L23" i="3" s="1"/>
  <c r="K34" i="3"/>
  <c r="L34" i="3" s="1"/>
  <c r="J34" i="3"/>
  <c r="H34" i="3"/>
  <c r="G34" i="3"/>
  <c r="D20" i="3" a="1"/>
  <c r="D20" i="3" s="1"/>
  <c r="J21" i="3" l="1"/>
  <c r="I21" i="3"/>
  <c r="H7" i="3" l="1" a="1"/>
  <c r="H7" i="3" s="1"/>
  <c r="H11" i="3" a="1"/>
  <c r="H11" i="3" s="1"/>
  <c r="D23" i="3"/>
  <c r="D21" i="3"/>
  <c r="D19" i="3"/>
  <c r="K30" i="3" l="1"/>
  <c r="K25" i="3"/>
  <c r="K26" i="3"/>
  <c r="D22" i="3"/>
  <c r="K19" i="3" a="1"/>
  <c r="K19" i="3" s="1"/>
  <c r="L19" i="3" s="1"/>
  <c r="H12" i="3" a="1"/>
  <c r="H12" i="3" s="1"/>
  <c r="H10" i="3"/>
  <c r="H9" i="3" a="1"/>
  <c r="H9" i="3" s="1"/>
  <c r="H8" i="3" a="1"/>
  <c r="H8" i="3" s="1"/>
  <c r="K20" i="3" l="1"/>
  <c r="L20" i="3" s="1"/>
  <c r="H3" i="3"/>
  <c r="K6" i="3"/>
  <c r="L6" i="3" s="1"/>
  <c r="K5" i="3"/>
  <c r="L5" i="3" s="1"/>
  <c r="G3" i="3"/>
  <c r="B13" i="3" a="1"/>
  <c r="B13" i="3" s="1"/>
  <c r="J28" i="3" l="1"/>
  <c r="J27" i="3"/>
  <c r="K13" i="3"/>
  <c r="L13" i="3" s="1"/>
  <c r="J10" i="3"/>
  <c r="K9" i="3"/>
  <c r="L9" i="3" s="1"/>
  <c r="G10" i="3"/>
  <c r="J11" i="3"/>
  <c r="G32" i="3"/>
  <c r="K27" i="3"/>
  <c r="L27" i="3" s="1"/>
  <c r="K10" i="3"/>
  <c r="L10" i="3" s="1"/>
  <c r="K29" i="3"/>
  <c r="L29" i="3" s="1"/>
  <c r="G25" i="3"/>
  <c r="J24" i="3" a="1"/>
  <c r="J24" i="3" s="1"/>
  <c r="G23" i="3" a="1"/>
  <c r="G23" i="3" s="1"/>
  <c r="G11" i="3"/>
  <c r="J9" i="3"/>
  <c r="G7" i="3"/>
  <c r="K32" i="3" a="1"/>
  <c r="K32" i="3" s="1"/>
  <c r="L32" i="3" s="1"/>
  <c r="L30" i="3"/>
  <c r="J29" i="3"/>
  <c r="G27" i="3"/>
  <c r="G26" i="3"/>
  <c r="K16" i="3"/>
  <c r="L28" i="3"/>
  <c r="K17" i="3"/>
  <c r="L17" i="3" s="1"/>
  <c r="K15" i="3"/>
  <c r="L15" i="3" s="1"/>
  <c r="H14" i="3" a="1"/>
  <c r="H14" i="3" s="1"/>
  <c r="H13" i="3"/>
  <c r="K12" i="3"/>
  <c r="L12" i="3" s="1"/>
  <c r="K8" i="3"/>
  <c r="L8" i="3" s="1"/>
  <c r="G8" i="3"/>
  <c r="G19" i="3"/>
  <c r="G6" i="3"/>
  <c r="K33" i="3"/>
  <c r="L33" i="3" s="1"/>
  <c r="K31" i="3" a="1"/>
  <c r="K31" i="3" s="1"/>
  <c r="L31" i="3" s="1"/>
  <c r="J30" i="3"/>
  <c r="G28" i="3"/>
  <c r="J17" i="3"/>
  <c r="J16" i="3"/>
  <c r="G13" i="3"/>
  <c r="J12" i="3"/>
  <c r="J8" i="3"/>
  <c r="G30" i="3"/>
  <c r="G24" i="3" a="1"/>
  <c r="G24" i="3" s="1"/>
  <c r="J20" i="3"/>
  <c r="H18" i="3"/>
  <c r="H16" i="3" a="1"/>
  <c r="H16" i="3" s="1"/>
  <c r="K7" i="3"/>
  <c r="L7" i="3" s="1"/>
  <c r="G33" i="3"/>
  <c r="L25" i="3"/>
  <c r="G18" i="3"/>
  <c r="G16" i="3"/>
  <c r="K14" i="3" a="1"/>
  <c r="K14" i="3" s="1"/>
  <c r="L14" i="3" s="1"/>
  <c r="G5" i="3"/>
  <c r="G31" i="3"/>
  <c r="J25" i="3"/>
  <c r="G20" i="3"/>
  <c r="J33" i="3"/>
  <c r="J32" i="3" a="1"/>
  <c r="J32" i="3" s="1"/>
  <c r="J31" i="3"/>
  <c r="G29" i="3"/>
  <c r="G22" i="3"/>
  <c r="I22" i="3" s="1"/>
  <c r="J18" i="3"/>
  <c r="G14" i="3" a="1"/>
  <c r="G14" i="3" s="1"/>
  <c r="G9" i="3"/>
  <c r="J5" i="3"/>
  <c r="J23" i="3" a="1"/>
  <c r="J23" i="3" s="1"/>
  <c r="J19" i="3"/>
  <c r="H17" i="3" a="1"/>
  <c r="H17" i="3" s="1"/>
  <c r="K11" i="3"/>
  <c r="L11" i="3" s="1"/>
  <c r="L26" i="3"/>
  <c r="H19" i="3"/>
  <c r="G17" i="3"/>
  <c r="G15" i="3"/>
  <c r="G12" i="3"/>
  <c r="J7" i="3"/>
  <c r="J26" i="3"/>
  <c r="K18" i="3" l="1"/>
  <c r="L18" i="3" s="1"/>
  <c r="L16" i="3"/>
  <c r="H22" i="3" a="1"/>
  <c r="H22" i="3" s="1"/>
  <c r="J22" i="3"/>
  <c r="K21" i="3"/>
  <c r="L21" i="3" s="1"/>
  <c r="K22" i="3"/>
  <c r="L22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<sst xmlns="http://schemas.openxmlformats.org/spreadsheetml/2006/main" count="1176" uniqueCount="116">
  <si>
    <t>EHD5-3H</t>
  </si>
  <si>
    <t>■アンカー条件</t>
    <rPh sb="5" eb="7">
      <t>ジョウケン</t>
    </rPh>
    <phoneticPr fontId="5"/>
  </si>
  <si>
    <t>数量計算条件</t>
    <rPh sb="0" eb="2">
      <t>スウリョウ</t>
    </rPh>
    <rPh sb="2" eb="4">
      <t>ケイサン</t>
    </rPh>
    <rPh sb="4" eb="6">
      <t>ジョウケン</t>
    </rPh>
    <phoneticPr fontId="5"/>
  </si>
  <si>
    <t>単位</t>
    <rPh sb="0" eb="1">
      <t>タン</t>
    </rPh>
    <rPh sb="1" eb="2">
      <t>イ</t>
    </rPh>
    <phoneticPr fontId="5"/>
  </si>
  <si>
    <t>全体数量</t>
    <rPh sb="0" eb="2">
      <t>ゼンタイ</t>
    </rPh>
    <rPh sb="2" eb="3">
      <t>スウ</t>
    </rPh>
    <rPh sb="3" eb="4">
      <t>リョウ</t>
    </rPh>
    <phoneticPr fontId="5"/>
  </si>
  <si>
    <t>本</t>
    <rPh sb="0" eb="1">
      <t>ホン</t>
    </rPh>
    <phoneticPr fontId="6"/>
  </si>
  <si>
    <t>──</t>
    <phoneticPr fontId="7"/>
  </si>
  <si>
    <t>防食構造</t>
  </si>
  <si>
    <t>頭部受圧体</t>
    <rPh sb="0" eb="2">
      <t>トウブ</t>
    </rPh>
    <rPh sb="2" eb="4">
      <t>ジュアツ</t>
    </rPh>
    <rPh sb="4" eb="5">
      <t>タイ</t>
    </rPh>
    <phoneticPr fontId="5"/>
  </si>
  <si>
    <t>　</t>
  </si>
  <si>
    <t>m</t>
    <phoneticPr fontId="6"/>
  </si>
  <si>
    <t>地盤部自由長　Lfg</t>
    <rPh sb="0" eb="2">
      <t>ジバン</t>
    </rPh>
    <rPh sb="2" eb="3">
      <t>ブ</t>
    </rPh>
    <rPh sb="3" eb="5">
      <t>ジユウ</t>
    </rPh>
    <rPh sb="5" eb="6">
      <t>チョウ</t>
    </rPh>
    <phoneticPr fontId="6"/>
  </si>
  <si>
    <t>自由長　Lf</t>
    <rPh sb="0" eb="2">
      <t>ジユウ</t>
    </rPh>
    <rPh sb="2" eb="3">
      <t>チョウ</t>
    </rPh>
    <phoneticPr fontId="5"/>
  </si>
  <si>
    <t>緊張部長　L1</t>
    <rPh sb="0" eb="2">
      <t>キンチョウ</t>
    </rPh>
    <rPh sb="2" eb="4">
      <t>ブチョウ</t>
    </rPh>
    <phoneticPr fontId="5"/>
  </si>
  <si>
    <t>m</t>
  </si>
  <si>
    <t>先端長　L2d</t>
    <rPh sb="0" eb="2">
      <t>センタン</t>
    </rPh>
    <rPh sb="2" eb="3">
      <t>チョウ</t>
    </rPh>
    <phoneticPr fontId="5"/>
  </si>
  <si>
    <t>mm</t>
    <phoneticPr fontId="6"/>
  </si>
  <si>
    <r>
      <t>設計削孔径　D</t>
    </r>
    <r>
      <rPr>
        <vertAlign val="subscript"/>
        <sz val="9"/>
        <color theme="1"/>
        <rFont val="游ゴシック Medium"/>
        <family val="3"/>
        <charset val="128"/>
      </rPr>
      <t>A</t>
    </r>
    <rPh sb="0" eb="2">
      <t>セッケイ</t>
    </rPh>
    <rPh sb="2" eb="4">
      <t>サッコウ</t>
    </rPh>
    <rPh sb="4" eb="5">
      <t>ケイ</t>
    </rPh>
    <phoneticPr fontId="5"/>
  </si>
  <si>
    <r>
      <t>アンカー体長　L</t>
    </r>
    <r>
      <rPr>
        <vertAlign val="subscript"/>
        <sz val="9"/>
        <rFont val="游ゴシック Medium"/>
        <family val="3"/>
        <charset val="128"/>
      </rPr>
      <t>A</t>
    </r>
    <rPh sb="4" eb="5">
      <t>タイ</t>
    </rPh>
    <rPh sb="5" eb="6">
      <t>チョウ</t>
    </rPh>
    <phoneticPr fontId="6"/>
  </si>
  <si>
    <r>
      <t>先端部長　L</t>
    </r>
    <r>
      <rPr>
        <sz val="9"/>
        <color theme="1"/>
        <rFont val="游ゴシック Medium"/>
        <family val="3"/>
        <charset val="128"/>
      </rPr>
      <t>2</t>
    </r>
    <rPh sb="0" eb="2">
      <t>センタン</t>
    </rPh>
    <rPh sb="2" eb="3">
      <t>ブ</t>
    </rPh>
    <rPh sb="3" eb="4">
      <t>チョウ</t>
    </rPh>
    <phoneticPr fontId="5"/>
  </si>
  <si>
    <r>
      <t>テンドン長　L=L</t>
    </r>
    <r>
      <rPr>
        <vertAlign val="subscript"/>
        <sz val="9"/>
        <color theme="1"/>
        <rFont val="游ゴシック Medium"/>
        <family val="3"/>
        <charset val="128"/>
      </rPr>
      <t>A</t>
    </r>
    <r>
      <rPr>
        <sz val="9"/>
        <color theme="1"/>
        <rFont val="游ゴシック Medium"/>
        <family val="3"/>
        <charset val="128"/>
      </rPr>
      <t>+Lf+L1+L2</t>
    </r>
    <phoneticPr fontId="5"/>
  </si>
  <si>
    <t>　　名　　　称</t>
    <phoneticPr fontId="5"/>
  </si>
  <si>
    <t>仕　　　様</t>
    <phoneticPr fontId="5"/>
  </si>
  <si>
    <t>単位</t>
    <phoneticPr fontId="5"/>
  </si>
  <si>
    <t>数 量</t>
    <phoneticPr fontId="5"/>
  </si>
  <si>
    <t>表示選択</t>
    <phoneticPr fontId="5"/>
  </si>
  <si>
    <t>──</t>
    <phoneticPr fontId="6"/>
  </si>
  <si>
    <t>アンカー本数　N</t>
  </si>
  <si>
    <t>規格No.</t>
    <phoneticPr fontId="5"/>
  </si>
  <si>
    <t>頭部キャップ</t>
  </si>
  <si>
    <t>削孔径　照査</t>
    <rPh sb="0" eb="2">
      <t>サッコウ</t>
    </rPh>
    <rPh sb="2" eb="3">
      <t>ケイ</t>
    </rPh>
    <rPh sb="4" eb="6">
      <t>ショウサ</t>
    </rPh>
    <phoneticPr fontId="5"/>
  </si>
  <si>
    <t>──</t>
    <phoneticPr fontId="5"/>
  </si>
  <si>
    <t>個別台座 規格</t>
    <rPh sb="0" eb="2">
      <t>コベツ</t>
    </rPh>
    <rPh sb="2" eb="4">
      <t>ダイザ</t>
    </rPh>
    <rPh sb="5" eb="7">
      <t>キカク</t>
    </rPh>
    <phoneticPr fontId="5"/>
  </si>
  <si>
    <t>台</t>
    <rPh sb="0" eb="1">
      <t>ダイ</t>
    </rPh>
    <phoneticPr fontId="5"/>
  </si>
  <si>
    <t>防食Ⅱ(一般環境)</t>
  </si>
  <si>
    <t>透明ｷｬｯﾌﾟ</t>
  </si>
  <si>
    <t>のり面角度台座</t>
  </si>
  <si>
    <r>
      <t>推奨削孔径　D</t>
    </r>
    <r>
      <rPr>
        <vertAlign val="subscript"/>
        <sz val="9"/>
        <color theme="1"/>
        <rFont val="游ゴシック Medium"/>
        <family val="3"/>
        <charset val="128"/>
      </rPr>
      <t>A</t>
    </r>
    <r>
      <rPr>
        <sz val="9"/>
        <color theme="1"/>
        <rFont val="游ゴシック Medium"/>
        <family val="3"/>
        <charset val="128"/>
      </rPr>
      <t>r</t>
    </r>
    <rPh sb="0" eb="2">
      <t>スイショウ</t>
    </rPh>
    <rPh sb="2" eb="4">
      <t>サッコウ</t>
    </rPh>
    <rPh sb="4" eb="5">
      <t>ケイ</t>
    </rPh>
    <phoneticPr fontId="5"/>
  </si>
  <si>
    <t>数量摘要　(1本当り)</t>
    <phoneticPr fontId="1"/>
  </si>
  <si>
    <t>■EHDアンカーHP工法_数量表</t>
    <rPh sb="13" eb="15">
      <t>スウリョウ</t>
    </rPh>
    <rPh sb="15" eb="16">
      <t>ヒョウ</t>
    </rPh>
    <phoneticPr fontId="1"/>
  </si>
  <si>
    <t>(10)1段/2段</t>
    <phoneticPr fontId="1"/>
  </si>
  <si>
    <t>(9)1段/2段</t>
    <phoneticPr fontId="1"/>
  </si>
  <si>
    <t>00なし</t>
  </si>
  <si>
    <t>防食Ⅲ(酸性土環境)</t>
  </si>
  <si>
    <t>内訳</t>
    <rPh sb="0" eb="2">
      <t>ウチワケ</t>
    </rPh>
    <phoneticPr fontId="6"/>
  </si>
  <si>
    <t>アンカー識別No.</t>
    <rPh sb="4" eb="6">
      <t>シキベツ</t>
    </rPh>
    <phoneticPr fontId="6"/>
  </si>
  <si>
    <t>防食構造</t>
    <phoneticPr fontId="6"/>
  </si>
  <si>
    <t>ｱﾝｶｰ本数</t>
    <rPh sb="4" eb="6">
      <t>ホンスウ</t>
    </rPh>
    <phoneticPr fontId="6"/>
  </si>
  <si>
    <t>規格No.</t>
    <rPh sb="0" eb="2">
      <t>キカク</t>
    </rPh>
    <phoneticPr fontId="6"/>
  </si>
  <si>
    <t>頭部ｷｬｯﾌﾟ</t>
    <rPh sb="0" eb="2">
      <t>トウブ</t>
    </rPh>
    <phoneticPr fontId="6"/>
  </si>
  <si>
    <t>頭部受圧体</t>
    <rPh sb="0" eb="2">
      <t>トウブ</t>
    </rPh>
    <rPh sb="2" eb="4">
      <t>ジュアツ</t>
    </rPh>
    <rPh sb="4" eb="5">
      <t>タイ</t>
    </rPh>
    <phoneticPr fontId="6"/>
  </si>
  <si>
    <t>パッカー</t>
    <phoneticPr fontId="6"/>
  </si>
  <si>
    <t>緊張部長</t>
    <rPh sb="0" eb="2">
      <t>キンチョウ</t>
    </rPh>
    <rPh sb="2" eb="4">
      <t>ブチョウ</t>
    </rPh>
    <phoneticPr fontId="6"/>
  </si>
  <si>
    <t>頭部自由長</t>
    <phoneticPr fontId="6"/>
  </si>
  <si>
    <t>地盤部自由長</t>
    <rPh sb="0" eb="2">
      <t>ジバン</t>
    </rPh>
    <rPh sb="2" eb="3">
      <t>ブ</t>
    </rPh>
    <rPh sb="3" eb="5">
      <t>ジユウ</t>
    </rPh>
    <rPh sb="5" eb="6">
      <t>チョウ</t>
    </rPh>
    <phoneticPr fontId="6"/>
  </si>
  <si>
    <t>ｱﾝｶｰ体長</t>
    <rPh sb="4" eb="5">
      <t>タイ</t>
    </rPh>
    <rPh sb="5" eb="6">
      <t>チョウ</t>
    </rPh>
    <phoneticPr fontId="6"/>
  </si>
  <si>
    <t>No.</t>
    <phoneticPr fontId="5"/>
  </si>
  <si>
    <t>─</t>
    <phoneticPr fontId="5"/>
  </si>
  <si>
    <t>──</t>
  </si>
  <si>
    <t>N (本)</t>
    <rPh sb="3" eb="4">
      <t>ホン</t>
    </rPh>
    <phoneticPr fontId="5"/>
  </si>
  <si>
    <t>選択</t>
    <rPh sb="0" eb="2">
      <t>センタク</t>
    </rPh>
    <phoneticPr fontId="6"/>
  </si>
  <si>
    <r>
      <t>L</t>
    </r>
    <r>
      <rPr>
        <i/>
        <vertAlign val="subscript"/>
        <sz val="9"/>
        <color theme="1"/>
        <rFont val="游ゴシック Medium"/>
        <family val="3"/>
        <charset val="128"/>
      </rPr>
      <t>1</t>
    </r>
    <r>
      <rPr>
        <i/>
        <sz val="9"/>
        <color theme="1"/>
        <rFont val="游ゴシック Medium"/>
        <family val="3"/>
        <charset val="128"/>
      </rPr>
      <t xml:space="preserve"> (m)</t>
    </r>
    <phoneticPr fontId="5"/>
  </si>
  <si>
    <r>
      <t>L</t>
    </r>
    <r>
      <rPr>
        <i/>
        <vertAlign val="subscript"/>
        <sz val="9"/>
        <color theme="1"/>
        <rFont val="游ゴシック Medium"/>
        <family val="3"/>
        <charset val="128"/>
      </rPr>
      <t>fh</t>
    </r>
    <r>
      <rPr>
        <i/>
        <sz val="9"/>
        <color theme="1"/>
        <rFont val="游ゴシック Medium"/>
        <family val="3"/>
        <charset val="128"/>
      </rPr>
      <t xml:space="preserve"> (m)</t>
    </r>
    <phoneticPr fontId="5"/>
  </si>
  <si>
    <r>
      <t>L</t>
    </r>
    <r>
      <rPr>
        <i/>
        <vertAlign val="subscript"/>
        <sz val="9"/>
        <color theme="1"/>
        <rFont val="游ゴシック Medium"/>
        <family val="3"/>
        <charset val="128"/>
      </rPr>
      <t>fg</t>
    </r>
    <r>
      <rPr>
        <i/>
        <sz val="9"/>
        <color theme="1"/>
        <rFont val="游ゴシック Medium"/>
        <family val="3"/>
        <charset val="128"/>
      </rPr>
      <t xml:space="preserve"> (m)</t>
    </r>
    <phoneticPr fontId="5"/>
  </si>
  <si>
    <r>
      <t>L</t>
    </r>
    <r>
      <rPr>
        <i/>
        <vertAlign val="subscript"/>
        <sz val="9"/>
        <color theme="1"/>
        <rFont val="游ゴシック Medium"/>
        <family val="3"/>
        <charset val="128"/>
      </rPr>
      <t>A</t>
    </r>
    <r>
      <rPr>
        <i/>
        <sz val="9"/>
        <color theme="1"/>
        <rFont val="游ゴシック Medium"/>
        <family val="3"/>
        <charset val="128"/>
      </rPr>
      <t xml:space="preserve"> (m)</t>
    </r>
    <phoneticPr fontId="5"/>
  </si>
  <si>
    <r>
      <t>D</t>
    </r>
    <r>
      <rPr>
        <i/>
        <vertAlign val="subscript"/>
        <sz val="9"/>
        <color theme="1"/>
        <rFont val="游ゴシック Medium"/>
        <family val="3"/>
        <charset val="128"/>
      </rPr>
      <t>A</t>
    </r>
    <r>
      <rPr>
        <i/>
        <sz val="9"/>
        <color theme="1"/>
        <rFont val="游ゴシック Medium"/>
        <family val="3"/>
        <charset val="128"/>
      </rPr>
      <t xml:space="preserve"> (mm)</t>
    </r>
    <phoneticPr fontId="5"/>
  </si>
  <si>
    <t>■仕様条件　(黄色セル入力)</t>
    <rPh sb="1" eb="3">
      <t>シヨウ</t>
    </rPh>
    <rPh sb="3" eb="5">
      <t>ジョウケン</t>
    </rPh>
    <phoneticPr fontId="5"/>
  </si>
  <si>
    <t>適用分野</t>
    <rPh sb="0" eb="2">
      <t>テキヨウ</t>
    </rPh>
    <rPh sb="2" eb="4">
      <t>ブンヤ</t>
    </rPh>
    <phoneticPr fontId="5"/>
  </si>
  <si>
    <t>土木</t>
  </si>
  <si>
    <t>補強構造物の種類</t>
    <rPh sb="0" eb="2">
      <t>ホキョウ</t>
    </rPh>
    <rPh sb="2" eb="5">
      <t>コウゾウブツ</t>
    </rPh>
    <rPh sb="6" eb="8">
      <t>シュルイ</t>
    </rPh>
    <phoneticPr fontId="5"/>
  </si>
  <si>
    <t>切土のり面(土工構造物)</t>
  </si>
  <si>
    <t>計画工事日(アンカー)</t>
    <rPh sb="0" eb="2">
      <t>ケイカク</t>
    </rPh>
    <rPh sb="2" eb="4">
      <t>コウジ</t>
    </rPh>
    <rPh sb="4" eb="5">
      <t>ビ</t>
    </rPh>
    <phoneticPr fontId="5"/>
  </si>
  <si>
    <t>発注者1(設計見積宛先：上)</t>
    <rPh sb="0" eb="2">
      <t>ハッチュウ</t>
    </rPh>
    <rPh sb="2" eb="3">
      <t>シャ</t>
    </rPh>
    <rPh sb="12" eb="13">
      <t>ウエ</t>
    </rPh>
    <phoneticPr fontId="5"/>
  </si>
  <si>
    <t>発注者2(設計見積宛先：下)</t>
    <rPh sb="0" eb="3">
      <t>ハッチュウシャ</t>
    </rPh>
    <rPh sb="5" eb="7">
      <t>セッケイ</t>
    </rPh>
    <rPh sb="7" eb="9">
      <t>ミツモリ</t>
    </rPh>
    <rPh sb="9" eb="11">
      <t>アテサキ</t>
    </rPh>
    <rPh sb="12" eb="13">
      <t>シタ</t>
    </rPh>
    <phoneticPr fontId="5"/>
  </si>
  <si>
    <t>設計コンサルタント</t>
    <rPh sb="0" eb="2">
      <t>セッケイ</t>
    </rPh>
    <phoneticPr fontId="6"/>
  </si>
  <si>
    <t>○○○○コンサルタント（株）</t>
    <rPh sb="11" eb="14">
      <t>カブ</t>
    </rPh>
    <phoneticPr fontId="6"/>
  </si>
  <si>
    <t>工事名称</t>
    <phoneticPr fontId="5"/>
  </si>
  <si>
    <t>○○道路のり面防災対策工事</t>
    <rPh sb="2" eb="4">
      <t>ドウロ</t>
    </rPh>
    <rPh sb="7" eb="9">
      <t>ボウサイ</t>
    </rPh>
    <rPh sb="9" eb="11">
      <t>タイサク</t>
    </rPh>
    <rPh sb="11" eb="13">
      <t>コウジ</t>
    </rPh>
    <phoneticPr fontId="5"/>
  </si>
  <si>
    <t>工事場所</t>
    <rPh sb="0" eb="2">
      <t>コウジ</t>
    </rPh>
    <rPh sb="2" eb="4">
      <t>バショ</t>
    </rPh>
    <phoneticPr fontId="5"/>
  </si>
  <si>
    <t>○○県○○市○○町○○番地</t>
    <rPh sb="2" eb="3">
      <t>ケン</t>
    </rPh>
    <rPh sb="8" eb="9">
      <t>チョウ</t>
    </rPh>
    <rPh sb="11" eb="13">
      <t>バンチ</t>
    </rPh>
    <phoneticPr fontId="6"/>
  </si>
  <si>
    <t>工事施工者(元請)</t>
    <rPh sb="0" eb="2">
      <t>コウジ</t>
    </rPh>
    <rPh sb="2" eb="5">
      <t>セコウシャ</t>
    </rPh>
    <rPh sb="6" eb="8">
      <t>モトウケ</t>
    </rPh>
    <phoneticPr fontId="5"/>
  </si>
  <si>
    <t>未定</t>
    <rPh sb="0" eb="2">
      <t>ミテイ</t>
    </rPh>
    <phoneticPr fontId="5"/>
  </si>
  <si>
    <t>■基本条件　(黄色セル入力)</t>
    <rPh sb="1" eb="3">
      <t>キホン</t>
    </rPh>
    <rPh sb="3" eb="5">
      <t>ジョウケン</t>
    </rPh>
    <phoneticPr fontId="5"/>
  </si>
  <si>
    <t>【見積依頼書】</t>
    <rPh sb="1" eb="3">
      <t>ミツモリ</t>
    </rPh>
    <rPh sb="3" eb="6">
      <t>イライショ</t>
    </rPh>
    <phoneticPr fontId="5"/>
  </si>
  <si>
    <t>国土交通省 ○○地方整備局</t>
    <rPh sb="0" eb="2">
      <t>コクド</t>
    </rPh>
    <rPh sb="2" eb="5">
      <t>コウツウショウ</t>
    </rPh>
    <rPh sb="8" eb="10">
      <t>チホウ</t>
    </rPh>
    <rPh sb="10" eb="12">
      <t>セイビ</t>
    </rPh>
    <rPh sb="12" eb="13">
      <t>キョク</t>
    </rPh>
    <phoneticPr fontId="5"/>
  </si>
  <si>
    <t>○○河川国道事務所</t>
    <rPh sb="2" eb="4">
      <t>カセン</t>
    </rPh>
    <rPh sb="4" eb="6">
      <t>コクドウ</t>
    </rPh>
    <rPh sb="6" eb="8">
      <t>ジム</t>
    </rPh>
    <rPh sb="8" eb="9">
      <t>ショ</t>
    </rPh>
    <phoneticPr fontId="5"/>
  </si>
  <si>
    <t>表示選択</t>
  </si>
  <si>
    <t>パッカー選択</t>
    <rPh sb="4" eb="6">
      <t>センタク</t>
    </rPh>
    <phoneticPr fontId="5"/>
  </si>
  <si>
    <t>依頼会社</t>
    <rPh sb="0" eb="2">
      <t>イライ</t>
    </rPh>
    <rPh sb="2" eb="4">
      <t>カイシャ</t>
    </rPh>
    <phoneticPr fontId="1"/>
  </si>
  <si>
    <t>連絡担当者</t>
    <rPh sb="0" eb="2">
      <t>レンラク</t>
    </rPh>
    <rPh sb="2" eb="5">
      <t>タントウシャ</t>
    </rPh>
    <phoneticPr fontId="1"/>
  </si>
  <si>
    <t>連絡先(電話)</t>
    <rPh sb="0" eb="3">
      <t>レンラクサキ</t>
    </rPh>
    <rPh sb="4" eb="6">
      <t>デンワ</t>
    </rPh>
    <phoneticPr fontId="1"/>
  </si>
  <si>
    <t>連絡先(Mail)</t>
    <rPh sb="0" eb="3">
      <t>レンラクサキ</t>
    </rPh>
    <phoneticPr fontId="1"/>
  </si>
  <si>
    <t>a.aaaaaaa@bbbbbbb.co.jp</t>
    <phoneticPr fontId="5"/>
  </si>
  <si>
    <t>○○ ○○</t>
    <phoneticPr fontId="5"/>
  </si>
  <si>
    <t>設計削孔径</t>
    <rPh sb="0" eb="2">
      <t>セッケイ</t>
    </rPh>
    <rPh sb="2" eb="4">
      <t>サッコウ</t>
    </rPh>
    <rPh sb="4" eb="5">
      <t>ケイ</t>
    </rPh>
    <phoneticPr fontId="6"/>
  </si>
  <si>
    <t>???xxx1111</t>
    <phoneticPr fontId="5"/>
  </si>
  <si>
    <t>○○○○株式会社</t>
    <rPh sb="4" eb="8">
      <t>カブシキカイシャ</t>
    </rPh>
    <phoneticPr fontId="5"/>
  </si>
  <si>
    <t>(11)1段/2段</t>
    <phoneticPr fontId="1"/>
  </si>
  <si>
    <t>(12)1段/2段</t>
    <phoneticPr fontId="1"/>
  </si>
  <si>
    <t>(13)1段/2段</t>
    <phoneticPr fontId="1"/>
  </si>
  <si>
    <t>(14)1段/2段</t>
    <phoneticPr fontId="1"/>
  </si>
  <si>
    <t>(15)1段/2段</t>
    <phoneticPr fontId="1"/>
  </si>
  <si>
    <t>(16)1段/2段</t>
    <phoneticPr fontId="1"/>
  </si>
  <si>
    <t>(17)1段/2段</t>
    <phoneticPr fontId="1"/>
  </si>
  <si>
    <t>(18)1段/2段</t>
    <phoneticPr fontId="1"/>
  </si>
  <si>
    <t>(19)1段/2段</t>
    <phoneticPr fontId="1"/>
  </si>
  <si>
    <t>(20)1段/2段</t>
    <phoneticPr fontId="1"/>
  </si>
  <si>
    <t>(1)1列目：1段/4段</t>
    <phoneticPr fontId="1"/>
  </si>
  <si>
    <t>(2)1列目：2段/4段</t>
    <phoneticPr fontId="1"/>
  </si>
  <si>
    <t>(3)1列目：3段/4段</t>
    <phoneticPr fontId="1"/>
  </si>
  <si>
    <t>(4)1列目：4段/4段</t>
    <phoneticPr fontId="1"/>
  </si>
  <si>
    <t>(5)2列目：1段/4段</t>
    <phoneticPr fontId="1"/>
  </si>
  <si>
    <t>(6)2列目：2段/4段</t>
    <phoneticPr fontId="1"/>
  </si>
  <si>
    <t>(7)2列目：3段/4段</t>
    <phoneticPr fontId="1"/>
  </si>
  <si>
    <t>(8)2列目：4段/4段</t>
    <phoneticPr fontId="1"/>
  </si>
  <si>
    <t>EHD5-2H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</si>
</sst>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&quot;φ&quot;##0"/>
    <numFmt numFmtId="178" formatCode="&quot;φ&quot;#,##0"/>
    <numFmt numFmtId="179" formatCode="00"/>
    <numFmt numFmtId="180" formatCode="#,##0.0;[Red]\-#,##0.0"/>
    <numFmt numFmtId="181" formatCode="yyyy&quot;年&quot;m&quot;月&quot;d&quot;日&quot;;@"/>
    <numFmt numFmtId="182" formatCode="&quot;(内訳&quot;00&quot;)&quot;"/>
  </numFmts>
  <fonts count="15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游ゴシック Medium"/>
      <family val="3"/>
      <charset val="128"/>
    </font>
    <font>
      <vertAlign val="subscript"/>
      <sz val="9"/>
      <color theme="1"/>
      <name val="游ゴシック Medium"/>
      <family val="3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游ゴシック Medium"/>
      <family val="3"/>
      <charset val="128"/>
    </font>
    <font>
      <vertAlign val="subscript"/>
      <sz val="9"/>
      <name val="游ゴシック Medium"/>
      <family val="3"/>
      <charset val="128"/>
    </font>
    <font>
      <sz val="11"/>
      <name val="ＭＳ 明朝"/>
      <family val="1"/>
      <charset val="128"/>
    </font>
    <font>
      <b/>
      <sz val="9"/>
      <color rgb="FF0000FF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i/>
      <sz val="9"/>
      <color theme="1"/>
      <name val="游ゴシック Medium"/>
      <family val="3"/>
      <charset val="128"/>
    </font>
    <font>
      <i/>
      <vertAlign val="subscript"/>
      <sz val="9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center" vertical="center"/>
      <protection hidden="1"/>
    </xf>
    <xf numFmtId="40" fontId="2" fillId="0" borderId="4" xfId="1" quotePrefix="1" applyNumberFormat="1" applyFont="1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 shrinkToFit="1"/>
      <protection hidden="1"/>
    </xf>
    <xf numFmtId="0" fontId="2" fillId="0" borderId="0" xfId="0" quotePrefix="1" applyFont="1">
      <alignment vertical="center"/>
    </xf>
    <xf numFmtId="0" fontId="11" fillId="0" borderId="0" xfId="0" applyFont="1" applyAlignment="1">
      <alignment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/>
    </xf>
    <xf numFmtId="179" fontId="8" fillId="0" borderId="12" xfId="2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vertical="center" shrinkToFit="1"/>
      <protection hidden="1"/>
    </xf>
    <xf numFmtId="0" fontId="2" fillId="0" borderId="12" xfId="0" applyFont="1" applyBorder="1" applyAlignment="1" applyProtection="1">
      <alignment vertical="center" shrinkToFit="1"/>
      <protection hidden="1"/>
    </xf>
    <xf numFmtId="40" fontId="2" fillId="0" borderId="4" xfId="1" quotePrefix="1" applyNumberFormat="1" applyFont="1" applyBorder="1" applyAlignment="1" applyProtection="1">
      <alignment vertical="center" shrinkToFit="1"/>
      <protection hidden="1"/>
    </xf>
    <xf numFmtId="0" fontId="8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 applyProtection="1">
      <alignment vertical="center" shrinkToFit="1"/>
      <protection hidden="1"/>
    </xf>
    <xf numFmtId="176" fontId="2" fillId="0" borderId="5" xfId="0" applyNumberFormat="1" applyFont="1" applyBorder="1" applyAlignment="1" applyProtection="1">
      <alignment vertical="center" shrinkToFit="1"/>
      <protection hidden="1"/>
    </xf>
    <xf numFmtId="0" fontId="8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right" vertical="center" shrinkToFit="1"/>
      <protection hidden="1"/>
    </xf>
    <xf numFmtId="0" fontId="2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vertical="center" shrinkToFit="1"/>
      <protection hidden="1"/>
    </xf>
    <xf numFmtId="0" fontId="8" fillId="0" borderId="2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shrinkToFit="1"/>
      <protection hidden="1"/>
    </xf>
    <xf numFmtId="176" fontId="2" fillId="0" borderId="5" xfId="0" quotePrefix="1" applyNumberFormat="1" applyFont="1" applyBorder="1" applyAlignment="1" applyProtection="1">
      <alignment vertical="center" shrinkToFit="1"/>
      <protection hidden="1"/>
    </xf>
    <xf numFmtId="0" fontId="2" fillId="0" borderId="15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2" fillId="0" borderId="10" xfId="0" quotePrefix="1" applyFont="1" applyBorder="1" applyAlignment="1" applyProtection="1">
      <alignment vertical="center" shrinkToFit="1"/>
      <protection hidden="1"/>
    </xf>
    <xf numFmtId="0" fontId="8" fillId="0" borderId="5" xfId="0" applyFont="1" applyBorder="1" applyAlignment="1" applyProtection="1">
      <alignment horizontal="left" vertical="center" shrinkToFit="1"/>
      <protection hidden="1"/>
    </xf>
    <xf numFmtId="0" fontId="8" fillId="0" borderId="10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2" fillId="0" borderId="17" xfId="0" applyFont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>
      <alignment vertical="center" shrinkToFit="1"/>
    </xf>
    <xf numFmtId="177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Protection="1">
      <alignment vertical="center"/>
      <protection hidden="1"/>
    </xf>
    <xf numFmtId="179" fontId="8" fillId="0" borderId="13" xfId="2" applyNumberFormat="1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vertical="center" shrinkToFit="1"/>
      <protection hidden="1"/>
    </xf>
    <xf numFmtId="0" fontId="2" fillId="0" borderId="10" xfId="0" quotePrefix="1" applyFont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176" fontId="8" fillId="0" borderId="19" xfId="0" applyNumberFormat="1" applyFont="1" applyBorder="1" applyAlignment="1" applyProtection="1">
      <alignment horizontal="center" vertical="center" shrinkToFit="1"/>
      <protection hidden="1"/>
    </xf>
    <xf numFmtId="176" fontId="8" fillId="0" borderId="20" xfId="0" applyNumberFormat="1" applyFont="1" applyBorder="1" applyAlignment="1" applyProtection="1">
      <alignment horizontal="center" vertical="center" shrinkToFit="1"/>
      <protection hidden="1"/>
    </xf>
    <xf numFmtId="2" fontId="8" fillId="0" borderId="5" xfId="0" applyNumberFormat="1" applyFont="1" applyBorder="1" applyAlignment="1" applyProtection="1">
      <alignment horizontal="center" vertical="center" shrinkToFit="1"/>
      <protection hidden="1"/>
    </xf>
    <xf numFmtId="176" fontId="2" fillId="0" borderId="5" xfId="0" applyNumberFormat="1" applyFont="1" applyBorder="1" applyAlignment="1" applyProtection="1">
      <alignment horizontal="center" vertical="center" shrinkToFit="1"/>
      <protection hidden="1"/>
    </xf>
    <xf numFmtId="2" fontId="8" fillId="0" borderId="11" xfId="0" applyNumberFormat="1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>
      <alignment vertical="center" shrinkToFit="1"/>
    </xf>
    <xf numFmtId="178" fontId="2" fillId="0" borderId="5" xfId="0" applyNumberFormat="1" applyFont="1" applyBorder="1" applyAlignment="1" applyProtection="1">
      <alignment horizontal="center" vertical="center" shrinkToFit="1"/>
      <protection hidden="1"/>
    </xf>
    <xf numFmtId="180" fontId="2" fillId="0" borderId="5" xfId="1" applyNumberFormat="1" applyFont="1" applyBorder="1" applyAlignment="1" applyProtection="1">
      <alignment vertical="center" shrinkToFit="1"/>
      <protection hidden="1"/>
    </xf>
    <xf numFmtId="180" fontId="2" fillId="0" borderId="5" xfId="1" applyNumberFormat="1" applyFont="1" applyBorder="1" applyAlignment="1" applyProtection="1">
      <alignment horizontal="right" vertical="center" shrinkToFit="1"/>
      <protection hidden="1"/>
    </xf>
    <xf numFmtId="180" fontId="2" fillId="0" borderId="5" xfId="1" quotePrefix="1" applyNumberFormat="1" applyFont="1" applyBorder="1" applyAlignment="1" applyProtection="1">
      <alignment vertical="center" shrinkToFit="1"/>
      <protection hidden="1"/>
    </xf>
    <xf numFmtId="180" fontId="2" fillId="0" borderId="5" xfId="1" quotePrefix="1" applyNumberFormat="1" applyFont="1" applyBorder="1" applyAlignment="1" applyProtection="1">
      <alignment horizontal="right" vertical="center" shrinkToFi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1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2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vertical="center" shrinkToFit="1"/>
      <protection hidden="1"/>
    </xf>
    <xf numFmtId="180" fontId="2" fillId="0" borderId="5" xfId="1" applyNumberFormat="1" applyFont="1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176" fontId="2" fillId="0" borderId="5" xfId="0" applyNumberFormat="1" applyFont="1" applyBorder="1" applyAlignment="1" applyProtection="1">
      <alignment horizontal="right" vertical="center" shrinkToFit="1"/>
      <protection hidden="1"/>
    </xf>
    <xf numFmtId="180" fontId="2" fillId="0" borderId="5" xfId="0" applyNumberFormat="1" applyFont="1" applyBorder="1" applyAlignment="1" applyProtection="1">
      <alignment horizontal="right" vertical="center" shrinkToFit="1"/>
      <protection hidden="1"/>
    </xf>
    <xf numFmtId="0" fontId="2" fillId="0" borderId="22" xfId="0" applyFont="1" applyBorder="1" applyAlignment="1" applyProtection="1">
      <alignment vertical="center" shrinkToFit="1"/>
      <protection hidden="1"/>
    </xf>
    <xf numFmtId="0" fontId="2" fillId="0" borderId="11" xfId="0" applyFont="1" applyBorder="1" applyAlignment="1" applyProtection="1">
      <alignment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176" fontId="2" fillId="0" borderId="11" xfId="0" applyNumberFormat="1" applyFont="1" applyBorder="1" applyAlignment="1" applyProtection="1">
      <alignment horizontal="right" vertical="center" shrinkToFit="1"/>
      <protection hidden="1"/>
    </xf>
    <xf numFmtId="180" fontId="2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0" borderId="18" xfId="0" applyFont="1" applyBorder="1" applyAlignment="1">
      <alignment horizontal="center" vertical="center" shrinkToFit="1"/>
    </xf>
    <xf numFmtId="179" fontId="8" fillId="0" borderId="12" xfId="2" applyNumberFormat="1" applyFont="1" applyBorder="1" applyAlignment="1" applyProtection="1">
      <alignment horizontal="center" vertical="center" shrinkToFit="1"/>
      <protection hidden="1"/>
    </xf>
    <xf numFmtId="0" fontId="13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179" fontId="8" fillId="0" borderId="13" xfId="2" applyNumberFormat="1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81" fontId="2" fillId="0" borderId="1" xfId="0" applyNumberFormat="1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82" fontId="2" fillId="0" borderId="1" xfId="0" applyNumberFormat="1" applyFont="1" applyBorder="1" applyAlignment="1">
      <alignment horizontal="center" vertical="center"/>
    </xf>
    <xf numFmtId="182" fontId="2" fillId="0" borderId="0" xfId="0" quotePrefix="1" applyNumberFormat="1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1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176" fontId="8" fillId="0" borderId="5" xfId="0" applyNumberFormat="1" applyFont="1" applyBorder="1" applyAlignment="1" applyProtection="1">
      <alignment horizontal="right" vertical="center" shrinkToFit="1"/>
      <protection hidden="1"/>
    </xf>
    <xf numFmtId="177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8" fillId="0" borderId="5" xfId="0" applyNumberFormat="1" applyFont="1" applyBorder="1" applyAlignment="1" applyProtection="1">
      <alignment horizontal="center" vertical="center" shrinkToFit="1"/>
      <protection hidden="1"/>
    </xf>
    <xf numFmtId="1" fontId="8" fillId="0" borderId="11" xfId="0" applyNumberFormat="1" applyFont="1" applyBorder="1" applyAlignment="1" applyProtection="1">
      <alignment horizontal="center" vertical="center" shrinkToFit="1"/>
      <protection hidden="1"/>
    </xf>
    <xf numFmtId="176" fontId="8" fillId="0" borderId="11" xfId="0" applyNumberFormat="1" applyFont="1" applyBorder="1" applyAlignment="1" applyProtection="1">
      <alignment horizontal="right" vertical="center" shrinkToFit="1"/>
      <protection hidden="1"/>
    </xf>
    <xf numFmtId="177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81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20" xfId="0" applyNumberFormat="1" applyFont="1" applyFill="1" applyBorder="1" applyAlignment="1" applyProtection="1">
      <alignment horizontal="left" vertical="center"/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24" xfId="0" applyNumberFormat="1" applyFont="1" applyFill="1" applyBorder="1" applyAlignment="1" applyProtection="1">
      <alignment horizontal="left" vertical="center"/>
      <protection locked="0"/>
    </xf>
    <xf numFmtId="49" fontId="2" fillId="2" borderId="22" xfId="0" applyNumberFormat="1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4" xfId="2" xr:uid="{1F40CCAF-E566-45A3-9648-AEE3ECE92CD8}"/>
  </cellStyles>
  <dxfs count="40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298823</xdr:colOff>
      <xdr:row>6</xdr:row>
      <xdr:rowOff>74706</xdr:rowOff>
    </xdr:from>
    <xdr:to>
      <xdr:col>24</xdr:col>
      <xdr:colOff>303117</xdr:colOff>
      <xdr:row>28</xdr:row>
      <xdr:rowOff>109855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68E167-52B5-4567-A2D7-88378B2C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1529" y="926353"/>
          <a:ext cx="6100294" cy="315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1">
      <a:majorFont>
        <a:latin typeface="Times New Roman"/>
        <a:ea typeface="ＭＳ Ｐゴシック"/>
        <a:cs typeface=""/>
      </a:majorFont>
      <a:minorFont>
        <a:latin typeface="Times New Roman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207B-29C7-4B6C-A85C-0599FA783B1E}">
  <dimension ref="B2:S680"/>
  <sheetViews>
    <sheetView tabSelected="1" view="pageBreakPreview" zoomScaleNormal="100" zoomScaleSheetLayoutView="100" workbookViewId="0">
      <selection activeCell="D248" sqref="D248"/>
    </sheetView>
  </sheetViews>
  <sheetFormatPr defaultColWidth="8.83203125" defaultRowHeight="11.1" customHeight="1"/>
  <cols>
    <col min="1" max="1" width="2.83203125" style="1" customWidth="1"/>
    <col min="2" max="2" width="24.83203125" style="1" customWidth="1"/>
    <col min="3" max="3" width="6.83203125" style="1" customWidth="1"/>
    <col min="4" max="4" width="17.83203125" style="1" customWidth="1"/>
    <col min="5" max="5" width="4.5" style="1" customWidth="1"/>
    <col min="6" max="6" width="2.83203125" style="1" customWidth="1"/>
    <col min="7" max="7" width="18.33203125" style="1" customWidth="1"/>
    <col min="8" max="9" width="31.83203125" style="1" customWidth="1"/>
    <col min="10" max="10" width="6.83203125" style="1" customWidth="1"/>
    <col min="11" max="16384" width="8.83203125" style="1"/>
  </cols>
  <sheetData>
    <row r="2" spans="2:13" ht="11.1" customHeight="1">
      <c r="B2" s="19" t="s">
        <v>1</v>
      </c>
      <c r="D2" s="4"/>
      <c r="G2" s="73" t="s">
        <v>39</v>
      </c>
    </row>
    <row r="3" spans="2:13" ht="11.1" customHeight="1">
      <c r="G3" s="99">
        <f>D4</f>
        <v>1</v>
      </c>
      <c r="H3" s="55" t="str">
        <f>IF(D5=0,"",D6&amp;" "&amp;D9&amp; "："&amp;TEXT(D22,"L=##0.00")&amp;"m"&amp;TEXT(D20,",L1=##0.00")&amp;"m"&amp;TEXT(D19,",Lf=##0.00")&amp;"m"&amp;TEXT(D15,",LA=##0.00")&amp;"m"&amp;TEXT(D21,",L2=##0.00")&amp;"m")</f>
        <v>(1)1列目：1段/4段 EHD5-2H：L=15.20m,L1=1.00m,Lf=11.00m,LA=3.00m,L2=0.20m</v>
      </c>
      <c r="I3" s="55"/>
      <c r="J3" s="18"/>
    </row>
    <row r="4" spans="2:13" ht="11.1" customHeight="1">
      <c r="B4" s="13" t="s">
        <v>2</v>
      </c>
      <c r="C4" s="3" t="s">
        <v>3</v>
      </c>
      <c r="D4" s="98">
        <f>1+(ROW()-ROW($D$4))/34</f>
        <v>1</v>
      </c>
      <c r="F4" s="20"/>
      <c r="G4" s="21" t="s">
        <v>21</v>
      </c>
      <c r="H4" s="22" t="s">
        <v>22</v>
      </c>
      <c r="I4" s="22" t="s">
        <v>38</v>
      </c>
      <c r="J4" s="23" t="s">
        <v>23</v>
      </c>
      <c r="K4" s="22" t="s">
        <v>24</v>
      </c>
      <c r="L4" s="3" t="s">
        <v>4</v>
      </c>
      <c r="M4" s="18"/>
    </row>
    <row r="5" spans="2:13" ht="11.1" customHeight="1">
      <c r="B5" s="28" t="s">
        <v>25</v>
      </c>
      <c r="C5" s="5" t="s">
        <v>26</v>
      </c>
      <c r="D5" s="6">
        <v>1</v>
      </c>
      <c r="F5" s="24">
        <v>1</v>
      </c>
      <c r="G5" s="25" t="str">
        <f>IF(OR(D5=0,D9="　"),"","硅砂付着ECFﾃﾝﾄﾞﾝ")</f>
        <v>硅砂付着ECFﾃﾝﾄﾞﾝ</v>
      </c>
      <c r="H5" s="26" t="str">
        <f>IF(OR(D5=0,D9="　"),"",D9&amp;" ("&amp;MID(D9,6,FIND("H",D9,6)-6)&amp;IF(MID(D9,4,1)="5","φ12.7","φ15.2")&amp;")")</f>
        <v>EHD5-2H (2φ12.7)</v>
      </c>
      <c r="I5" s="57" t="str">
        <f>IF(OR(D5=0,D9="　"),"","W=テンドン長×PC鋼より線本数×"&amp;IF(MID(D9,4,1)="5","0.774","1.101")&amp;"kg/m")</f>
        <v>W=テンドン長×PC鋼より線本数×0.774kg/m</v>
      </c>
      <c r="J5" s="14" t="str">
        <f>IF(OR(D5=0,D9="　"),"","kg")</f>
        <v>kg</v>
      </c>
      <c r="K5" s="27">
        <f>IF(OR(D5=0,D9="　"),"",MROUND(D22*MID(D9,6,FIND("H",D9,6)-6)*IF(MID(D9,4,1)="5","0.774","1.101"),0.01))</f>
        <v>23.53</v>
      </c>
      <c r="L5" s="15">
        <f>IFERROR(D8*K5,"")</f>
        <v>23.53</v>
      </c>
    </row>
    <row r="6" spans="2:13" ht="11.1" customHeight="1">
      <c r="B6" s="31" t="s">
        <v>45</v>
      </c>
      <c r="C6" s="71" t="s">
        <v>6</v>
      </c>
      <c r="D6" s="74" t="s">
        <v>107</v>
      </c>
      <c r="F6" s="24">
        <v>2</v>
      </c>
      <c r="G6" s="17" t="str">
        <f>IF(OR(D5=0,D9="　"),"","アンカー工場加工")</f>
        <v>アンカー工場加工</v>
      </c>
      <c r="H6" s="29"/>
      <c r="I6" s="46" t="str">
        <f>IF(OR(D5=0,D9="　"),"","L=テンドン長")</f>
        <v>L=テンドン長</v>
      </c>
      <c r="J6" s="16" t="str">
        <f>IF(OR(D5=0,D9="　"),"","m")</f>
        <v>m</v>
      </c>
      <c r="K6" s="30">
        <f>IF(OR(D5=0,D9="　"),"",MROUND(D22,0.1))</f>
        <v>15.200000000000001</v>
      </c>
      <c r="L6" s="67">
        <f>IFERROR(D8*K6,"")</f>
        <v>15.200000000000001</v>
      </c>
    </row>
    <row r="7" spans="2:13" ht="11.1" customHeight="1">
      <c r="B7" s="34" t="s">
        <v>7</v>
      </c>
      <c r="C7" s="49" t="s">
        <v>6</v>
      </c>
      <c r="D7" s="2" t="s">
        <v>34</v>
      </c>
      <c r="F7" s="24">
        <v>3</v>
      </c>
      <c r="G7" s="17" t="str">
        <f>IF(OR(D5=0,D9="　",1*MID(D12,1,2)=1,1*MID(D12,1,2)&gt;=5),"","頭部キャップ")</f>
        <v>頭部キャップ</v>
      </c>
      <c r="H7" s="29" t="str" cm="1">
        <f t="array" ref="H7">IF(OR(D5=0,D9="　",1*MID(D12,1,2)=1,1*MID(D12,1,2)&gt;=5),"",IF(MID(D9,4,1)="5",_xlfn.SWITCH(1*MID(D9,6,FIND("H",D9,6)-6),1,"S",2,"S",3,"S",4,"S",5,"M",6,"M",7,"M",8,"L",9,"L",10,"L",11,"L",12,"L"),_xlfn.SWITCH(1*MID(D9,6,FIND("H",D9,6)-6),1,"S",2,"S",3,"M",4,"M",5,"L",6,"L",7,"L",8,"LL",9,"LL",10,"LL",11,"LL",12,"LL",13,"LL",14,"LL",15,"3L",16,"3L",17,"3L",18,"3L",19,"3L"))&amp;"型"&amp;MID(D10,IF(MID(D10,1,1)="G",4,1),10)&amp;IF(OR(MID(D10,1,2)="透明",MID(D10,1,2)="5窓"),"、PC樹脂","")&amp;IF(MID(D10,4,2)="鋼製","、SS400相当、HDZT77めっき","、ｱﾙﾐAC4C相当"))&amp;_xlfn.IFS(OR(D5=0,D9="　",MID(D7,1,3)="防食Ⅱ"),"",MID(D7,5,2)="塩害","、ﾀｹｺｰﾄ処理",MID(D7,5,2)="酸性","、重防食処理")</f>
        <v>S型透明ｷｬｯﾌﾟ、PC樹脂、ｱﾙﾐAC4C相当</v>
      </c>
      <c r="I7" s="52" t="str">
        <f>IF(OR(D5=0,D9="　",1*MID(D12,1,2)=1,1*MID(D12,1,2)&gt;=5),"","n=1")</f>
        <v>n=1</v>
      </c>
      <c r="J7" s="16" t="str">
        <f>IF(OR(D5=0,D9="　",1*MID(D12,1,2)=1,1*MID(D12,1,2)&gt;=5),"","個")</f>
        <v>個</v>
      </c>
      <c r="K7" s="32">
        <f>IF(OR(D5=0,D9="　",1*MID(D12,1,2)=1,1*MID(D12,1,2)&gt;=5),"",1)</f>
        <v>1</v>
      </c>
      <c r="L7" s="68">
        <f>IFERROR(D8*K7,"")</f>
        <v>1</v>
      </c>
    </row>
    <row r="8" spans="2:13" ht="11.1" customHeight="1">
      <c r="B8" s="31" t="s">
        <v>27</v>
      </c>
      <c r="C8" s="10" t="s">
        <v>5</v>
      </c>
      <c r="D8" s="75">
        <v>1</v>
      </c>
      <c r="F8" s="24">
        <v>4</v>
      </c>
      <c r="G8" s="17" t="str">
        <f>IF(OR(D5=0,D9="　",1*MID(D12,1,2)=1,1*MID(D12,1,2)&gt;=5),"","アンカーヘッド")</f>
        <v>アンカーヘッド</v>
      </c>
      <c r="H8" s="29" t="str" cm="1">
        <f t="array" ref="H8">IF(OR(D5=0,D9="　",1*MID(D12,1,2)=1,1*MID(D12,1,2)&gt;=5),"",IF(MID(D9,4,1)="5","G5"&amp;_xlfn.SWITCH(1*MID(D9,6,FIND("H",D9,6)-6),1,"01",2,"02",3,"03",4,"04",5,"07",6,"07",7,"07",8,"09",9,"09",10,"12",11,"12",12,"12"),"G6"&amp;_xlfn.SWITCH(1*MID(D9,6,FIND("H",D9,6)-6),1,"01",2,"02",3,"03",4,"04",5,"07",6,"07",7,"07",8,"09",9,"09",10,"12",11,"12",12,"12",13,"14",14,"14",15,"19",16,"19",17,"19",18,"19",19,"19"))&amp;"、S45C相当")&amp;IF(OR(D5=0,D9="　",MID(D10,1,3)="ｱﾙﾐ",1*MID(D12,1,2)=1,1*MID(D12,1,2)&gt;=5),"","、無電解Niめっき")</f>
        <v>G502、S45C相当、無電解Niめっき</v>
      </c>
      <c r="I8" s="52" t="str">
        <f>IF(OR(D5=0,D9="　",1*MID(D12,1,2)=1,1*MID(D12,1,2)&gt;=5),"","n=1")</f>
        <v>n=1</v>
      </c>
      <c r="J8" s="16" t="str">
        <f>IF(OR(D5=0,D9="　",1*MID(D12,1,2)=1,1*MID(D12,1,2)&gt;=5),"","個")</f>
        <v>個</v>
      </c>
      <c r="K8" s="32">
        <f>IF(OR(D5=0,D9="　",1*MID(D12,1,2)=1,1*MID(D12,1,2)&gt;=5),"",1)</f>
        <v>1</v>
      </c>
      <c r="L8" s="68">
        <f>IFERROR(D8*K8,"")</f>
        <v>1</v>
      </c>
    </row>
    <row r="9" spans="2:13" ht="11.1" customHeight="1">
      <c r="B9" s="33" t="s">
        <v>28</v>
      </c>
      <c r="C9" s="71" t="s">
        <v>6</v>
      </c>
      <c r="D9" s="7" t="s">
        <v>115</v>
      </c>
      <c r="F9" s="24">
        <v>5</v>
      </c>
      <c r="G9" s="17" t="str">
        <f>IF(OR(D5=0,D9="　",1*MID(D12,1,2)=1,1*MID(D12,1,2)&gt;=5),"","ナット")</f>
        <v>ナット</v>
      </c>
      <c r="H9" s="29" t="str" cm="1">
        <f t="array" ref="H9">IF(OR(D5=0,D9="　",1*MID(D12,1,2)=1,1*MID(D12,1,2)&gt;=5),"",IF(MID(D9,4,1)="5","G5"&amp;_xlfn.SWITCH(1*MID(D9,6,FIND("H",D9,6)-6),1,"01",2,"02",3,"03",4,"04",5,"07",6,"07",7,"07",8,"09",9,"09",10,"12",11,"12",12,"12"),"G6"&amp;_xlfn.SWITCH(1*MID(D9,6,FIND("H",D9,6)-6),1,"01",2,"02",3,"03",4,"04",5,"07",6,"07",7,"07",8,"09",9,"09",10,"12",11,"12",12,"12",13,"14",14,"14",15,"19",16,"19",17,"19",18,"19",19,"19"))&amp;"、S45C相当")&amp;IF(OR(D5=0,D9="　",MID(D10,1,3)="ｱﾙﾐ",1*MID(D12,1,2)=1,1*MID(D12,1,2)&gt;=5),"","、無電解Niめっき")</f>
        <v>G502、S45C相当、無電解Niめっき</v>
      </c>
      <c r="I9" s="52" t="str">
        <f>IF(OR(D5=0,D9="　",1*MID(D12,1,2)=1,1*MID(D12,1,2)&gt;=5),"","n=1")</f>
        <v>n=1</v>
      </c>
      <c r="J9" s="16" t="str">
        <f>IF(OR(D5=0,D9="　",1*MID(D12,1,2)=1,1*MID(D12,1,2)&gt;=5),"","個")</f>
        <v>個</v>
      </c>
      <c r="K9" s="32">
        <f>IF(OR(D5=0,D9="　",1*MID(D12,1,2)=1,1*MID(D12,1,2)&gt;=5),"",1)</f>
        <v>1</v>
      </c>
      <c r="L9" s="68">
        <f>IFERROR(D8*K9,"")</f>
        <v>1</v>
      </c>
    </row>
    <row r="10" spans="2:13" ht="11.1" customHeight="1">
      <c r="B10" s="35" t="s">
        <v>29</v>
      </c>
      <c r="C10" s="49" t="s">
        <v>6</v>
      </c>
      <c r="D10" s="2" t="s">
        <v>35</v>
      </c>
      <c r="F10" s="24">
        <v>6</v>
      </c>
      <c r="G10" s="17" t="str">
        <f>IF(OR(D5=0,D9="　",1*MID(D12,1,2)=1,1*MID(D12,1,2)&gt;=5),"","くさび")</f>
        <v>くさび</v>
      </c>
      <c r="H10" s="29" t="str">
        <f>IF(OR(D5=0,D9="　",1*MID(D12,1,2)=1,1*MID(D12,1,2)&gt;=5),"",IF(1*MID(D9,4,1)=5,"ECF12.7","ECF15.2")&amp;"、SCM415相当")&amp;IF(OR(D5=0,D9="　",MID(D10,1,3)="ｱﾙﾐ",1*MID(D12,1,2)=1,1*MID(D12,1,2)&gt;=5),"","、無電解Niめっき")</f>
        <v>ECF12.7、SCM415相当、無電解Niめっき</v>
      </c>
      <c r="I10" s="52" t="str">
        <f>IF(OR(D5=0,D9="　",1*MID(D12,1,2)=1,1*MID(D12,1,2)&gt;=5),"","n=1")</f>
        <v>n=1</v>
      </c>
      <c r="J10" s="16" t="str">
        <f>IF(OR(D5=0,D9="　",1*MID(D12,1,2)=1,1*MID(D12,1,2)&gt;=5),"","式")</f>
        <v>式</v>
      </c>
      <c r="K10" s="32">
        <f>IF(OR(D5=0,D9="　",1*MID(D12,1,2)=1,1*MID(D12,1,2)&gt;=5),"",1)</f>
        <v>1</v>
      </c>
      <c r="L10" s="68">
        <f>IFERROR(D8*K10,"")</f>
        <v>1</v>
      </c>
    </row>
    <row r="11" spans="2:13" ht="11.1" customHeight="1">
      <c r="B11" s="35" t="s">
        <v>8</v>
      </c>
      <c r="C11" s="49" t="s">
        <v>6</v>
      </c>
      <c r="D11" s="2" t="s">
        <v>36</v>
      </c>
      <c r="F11" s="24">
        <v>7</v>
      </c>
      <c r="G11" s="17" t="str">
        <f>IF(OR(D5=0,D9="　",1*MID(D12,1,2)=1,1*MID(D12,1,2)&gt;=5),"","押え板")</f>
        <v>押え板</v>
      </c>
      <c r="H11" s="29" t="str" cm="1">
        <f t="array" ref="H11">IF(OR(D5=0,D9="　",1*MID(D12,1,2)=1,1*MID(D12,1,2)&gt;=5),"",IF(MID(D9,4,1)="5","G5"&amp;_xlfn.SWITCH(1*MID(D9,6,FIND("H",D9,6)-6),1,"01",2,"04",3,"03",4,"04",5,"07",6,"07",7,"07",8,"12",9,"12",10,"12",11,"12",12,"12"),"G6"&amp;_xlfn.SWITCH(1*MID(D9,6,FIND("H",D9,6)-6),1,"01",2,"02",3,"03",4,"04",5,"07",6,"07",7,"07",8,"12",9,"12",10,"12",11,"12",12,"12",13,"14",14,"14",15,"19",16,"19",17,"19",18,"19",19,"19"))&amp;"、SS400相当")&amp;IF(OR(D5=0,D9="　",1*MID(D12,1,2)=1,1*MID(D12,1,2)&gt;=5),"","、"&amp;_xlfn.IFS(MID(D7,1,3)="防食Ⅱ","HDZT77めっき",MID(D7,5,2)="塩害","ｱﾙﾐﾅｲｽﾞ処理",MID(D7,5,2)="酸性","重防食処理"))</f>
        <v>G504、SS400相当、HDZT77めっき</v>
      </c>
      <c r="I11" s="52" t="str">
        <f>IF(OR(D5=0,D9="　",1*MID(D12,1,2)=1,1*MID(D12,1,2)&gt;=5),"","n=1")</f>
        <v>n=1</v>
      </c>
      <c r="J11" s="16" t="str">
        <f>IF(OR(D5=0,D9="　",1*MID(D12,1,2)=1,1*MID(D12,1,2)&gt;=5),"","枚")</f>
        <v>枚</v>
      </c>
      <c r="K11" s="32">
        <f>IF(OR(D5=0,D9="　",1*MID(D12,1,2)=1,1*MID(D12,1,2)&gt;=5),"",1)</f>
        <v>1</v>
      </c>
      <c r="L11" s="68">
        <f>IFERROR(D8*K11,"")</f>
        <v>1</v>
      </c>
    </row>
    <row r="12" spans="2:13" ht="11.1" customHeight="1">
      <c r="B12" s="36" t="s">
        <v>87</v>
      </c>
      <c r="C12" s="72" t="s">
        <v>6</v>
      </c>
      <c r="D12" s="8" t="s">
        <v>42</v>
      </c>
      <c r="F12" s="24">
        <v>8</v>
      </c>
      <c r="G12" s="17" t="str">
        <f>IF(OR(D5=0,D9="　"),"",IF(OR(1*MID(D12,1,2)=1,1*MID(D12,1,2)&gt;=5,MID(D11,1,3)&lt;&gt;"のり面"),"","管付")&amp;"支圧板")</f>
        <v>管付支圧板</v>
      </c>
      <c r="H12" s="29" t="str" cm="1">
        <f t="array" ref="H12">IF(OR(D5=0,D9="　"),"","PL"&amp;IF(OR(1*MID(D12,1,2)=1,1*MID(D12,1,2)&gt;=5,MID(D11,1,3)&lt;&gt;"のり面"),"","P")&amp;IF(MID(D9,4,1)="5","5-"&amp;_xlfn.SWITCH(1*MID(D9,6,FIND("H",D9,6)-6),1,"1",2,"2",3,"3",4,"4",5,"5",6,"6",7,"7",8,"9",9,"9",10,"10",11,"11",12,"12"),"6-"&amp;_xlfn.SWITCH(1*MID(D9,6,FIND("H",D9,6)-6),1,"1",2,"2",3,"3",4,"4",5,"6",6,"6",7,"7",8,"8",9,"9",10,"10",11,"11",12,"12",13,"14",14,"14",15,"16",16,"16",17,"17",18,"18",19,"19"))&amp;"、SS400相当")&amp;IF(OR(D5=0,D9="　"),"","、"&amp;_xlfn.IFS(MID(D7,1,3)="防食Ⅱ","HDZT77めっき",MID(D7,5,2)="塩害","ｱﾙﾐﾅｲｽﾞ処理",MID(D7,5,2)="酸性","重防食処理"))</f>
        <v>PLP5-2、SS400相当、HDZT77めっき</v>
      </c>
      <c r="I12" s="52" t="str">
        <f>IF(OR(D5=0,D9="　"),"","n=1")</f>
        <v>n=1</v>
      </c>
      <c r="J12" s="16" t="str">
        <f>IF(OR(D5=0,D9="　"),"","枚")</f>
        <v>枚</v>
      </c>
      <c r="K12" s="32">
        <f>IF(OR(D5=0,D9="　"),"",1)</f>
        <v>1</v>
      </c>
      <c r="L12" s="68">
        <f>IFERROR(D8*K12,"")</f>
        <v>1</v>
      </c>
    </row>
    <row r="13" spans="2:13" ht="11.1" customHeight="1">
      <c r="B13" s="37" t="str" cm="1">
        <f t="array" ref="B13">"頭部自由長"&amp;_xlfn.IFS(MID(D11,1,2)="なし","",MID(D11,1,3)="受圧体","(受圧体)",MID(D11,1,3)="のり面","(角度台座＋受圧体)",MID(D11,1,3)="構造物","(壁面台座)",MID(D11,1,3)="土留め","(台座+腹起し)",MID(D11,1,3)="個別台","(個別台座+腹起し)")&amp;"　Lfh"</f>
        <v>頭部自由長(角度台座＋受圧体)　Lfh</v>
      </c>
      <c r="C13" s="9" t="s">
        <v>10</v>
      </c>
      <c r="D13" s="75">
        <v>0.6</v>
      </c>
      <c r="F13" s="24">
        <v>9</v>
      </c>
      <c r="G13" s="17" t="str">
        <f>IF(OR(D5=0,D9="　",1*MID(D12,1,2)=1,1*MID(D12,1,2)&gt;=5),"","止水ゴム")</f>
        <v>止水ゴム</v>
      </c>
      <c r="H13" s="29" t="str">
        <f>IF(OR(D5=0,D9="　",1*MID(D12,1,2)=1,1*MID(D12,1,2)&gt;=5),"","G"&amp;MID(D9,4,4)&amp;"、NBR45相当")</f>
        <v>G5-2H、NBR45相当</v>
      </c>
      <c r="I13" s="52" t="str">
        <f>IF(OR(D5=0,D9="　",1*MID(D12,1,2)=1,1*MID(D12,1,2)&gt;=5),"","n=1")</f>
        <v>n=1</v>
      </c>
      <c r="J13" s="16" t="str">
        <f>IF(OR(D5=0,D9="　",1*MID(D12,1,2)=1,1*MID(D12,1,2)&gt;=5),"","個")</f>
        <v>個</v>
      </c>
      <c r="K13" s="32">
        <f>IF(OR(D5=0,D9="　",1*MID(D12,1,2)=1,1*MID(D12,1,2)&gt;=5),"",1)</f>
        <v>1</v>
      </c>
      <c r="L13" s="68">
        <f>IFERROR(D8*K13,"")</f>
        <v>1</v>
      </c>
    </row>
    <row r="14" spans="2:13" ht="11.1" customHeight="1">
      <c r="B14" s="31" t="s">
        <v>11</v>
      </c>
      <c r="C14" s="10" t="s">
        <v>10</v>
      </c>
      <c r="D14" s="75">
        <v>10.4</v>
      </c>
      <c r="F14" s="24">
        <v>10</v>
      </c>
      <c r="G14" s="17" t="str" cm="1">
        <f t="array" ref="G14">IF(OR(D5=0,D9="　",1*MID(D12,1,2)=1,1*MID(D12,1,2)&gt;=5),"",_xlfn.IFS(MID(D10,1,3)="ｱﾙﾐ","頭部防錆油",MID(D10,1,3)&lt;&gt;"ｱﾙﾐ","余長キャップ"))</f>
        <v>余長キャップ</v>
      </c>
      <c r="H14" s="29" t="str" cm="1">
        <f t="array" ref="H14">_xlfn.IFS(OR(D5=0,D9="　",1*MID(D12,1,2)=1,1*MID(D12,1,2)&gt;=5),"",MID(D10,1,3)="ｱﾙﾐ","PCコートC",MID(D10,1,3)&lt;&gt;"ｱﾙﾐ","TC"&amp;MID(D9,4,1)&amp;"、高密度ポリエチレン")</f>
        <v>TC5、高密度ポリエチレン</v>
      </c>
      <c r="I14" s="52" t="str" cm="1">
        <f t="array" ref="I14">_xlfn.IFS(OR(D5=0,D9="　",1*MID(D12,1,2)=1,1*MID(D12,1,2)&gt;=5),"",MID(D10,1,3)="ｱﾙﾐ","W="&amp;IF(MID(D9,4,1)="5",_xlfn.SWITCH(1*MID(LEFT(D9, LEN(D9)-1),6,2),1,1.9,2,1.3,3,1.3,4,1.3,5,1.6,6,1.6,7,1.6,8,3.1,9,3.1,10,3.1,11,3.1,12,3.1),"G6"&amp;_xlfn.SWITCH(1*MID(LEFT(D9, LEN(D9)-1),6,2),1,1.8,2,1.3,3,1.8,4,1.8,5,3.3,6,3.3,7,3.3,8,9.9,9,9.9,10,9.9,11,9.9,12,9.9,13,9.9,14,9.9)),MID(D10,1,3)&lt;&gt;"ｱﾙﾐ","n=1")</f>
        <v>n=1</v>
      </c>
      <c r="J14" s="16" t="str" cm="1">
        <f t="array" ref="J14">_xlfn.IFS(OR(D5=0,D9="　",1*MID(D12,1,2)=1,1*MID(D12,1,2)&gt;=5),"",MID(D10,1,3)="ｱﾙﾐ","kg",MID(D10,1,3)&lt;&gt;"ｱﾙﾐ","式")</f>
        <v>式</v>
      </c>
      <c r="K14" s="80" cm="1">
        <f t="array" ref="K14">_xlfn.IFS(OR(D5=0,D9="　",1*MID(D12,1,2)=1,1*MID(D12,1,2)&gt;=5),"",MID(D10,1,3)="ｱﾙﾐ",_xlfn.SWITCH(MID(D9,4,1),"5",_xlfn.SWITCH(1*MID(D9,6,FIND("H",D9,6)-6),1,1.9,2,1.3,3,1.3,4,1.3,5,1.6,6,1.6,7,1.6,8,3.1,9,3.1,10,3.1,11,3.1,12,3.1),"6",_xlfn.SWITCH(1*MID(D9,6,FIND("H",D9,6)-6),1,1.8,2,1.3,3,1.8,4,1.8,5,3.3,6,3.3,7,3.3,8,9.9,9,9.9,10,9.9,11,9.9,12,9.9,13,9.9,14,9.9)),MID(D10,1,3)&lt;&gt;"ｱﾙﾐ",1)</f>
        <v>1</v>
      </c>
      <c r="L14" s="68">
        <f>IFERROR(D8*K14,"")</f>
        <v>1</v>
      </c>
    </row>
    <row r="15" spans="2:13" ht="11.1" customHeight="1">
      <c r="B15" s="39" t="s">
        <v>18</v>
      </c>
      <c r="C15" s="40" t="s">
        <v>10</v>
      </c>
      <c r="D15" s="75">
        <v>3</v>
      </c>
      <c r="F15" s="24">
        <v>11</v>
      </c>
      <c r="G15" s="17" t="str">
        <f>IF(OR(D5=0,D9="　",1*MID(D12,1,2)=1,1*MID(D12,1,2)&gt;=5),"","配列スペーサ")</f>
        <v>配列スペーサ</v>
      </c>
      <c r="H15" s="29" t="str">
        <f>IF(OR(D5=0,D9="　",1*MID(D12,1,2)=1,1*MID(D12,1,2)&gt;=5),"",IF(MID(D9,4,1)="5","PS5-"&amp;_xlfn.SWITCH(1*MID(D9,6,FIND("H",D9,6)-6),1,"7",2,"2",3,"3",4,"4",5,"7",6,"7",7,"7",8,"12",9,"12",10,"12",11,"12",12,"12"),"PS6-"&amp;_xlfn.SWITCH(1*MID(D9,6,FIND("H",D9,6)-6),1,"7",2,"2",3,"3",4,"4",5,"7",6,"7",7,"7",8,"12",9,"12",10,"12",11,"12",12,"12",13,"14",14,"14",15,"19",16,"19",17,"19",18,"19",19,"19"))&amp;"、ポリエチレン")</f>
        <v>PS5-2、ポリエチレン</v>
      </c>
      <c r="I15" s="52" t="str">
        <f>IF(OR(D5=0,D9="　",1*MID(D12,1,2)=1,1*MID(D12,1,2)&gt;=5),"","n=2")</f>
        <v>n=2</v>
      </c>
      <c r="J15" s="16" t="str">
        <f>IF(OR(D5=0,D9="　",1*MID(D12,1,2)=1,1*MID(D12,1,2)&gt;=5),"","個")</f>
        <v>個</v>
      </c>
      <c r="K15" s="32">
        <f>IF(OR(D5=0,D9="　",1*MID(D12,1,2)=1,1*MID(D12,1,2)&gt;=5),"",2)</f>
        <v>2</v>
      </c>
      <c r="L15" s="68">
        <f>IFERROR(D8*K15,"")</f>
        <v>2</v>
      </c>
    </row>
    <row r="16" spans="2:13" ht="11.1" customHeight="1">
      <c r="B16" s="36" t="s">
        <v>17</v>
      </c>
      <c r="C16" s="11" t="s">
        <v>16</v>
      </c>
      <c r="D16" s="54">
        <v>90</v>
      </c>
      <c r="F16" s="24">
        <v>12</v>
      </c>
      <c r="G16" s="17" t="str">
        <f>IF(OR(D5=0,D9="　"),"","スペーサ")</f>
        <v>スペーサ</v>
      </c>
      <c r="H16" s="29" t="str" cm="1">
        <f t="array" ref="H16">IF(OR(D5=0,D9="　"),"",IF(MID(D9,4,1)="5","S5-"&amp;_xlfn.IFS(1*MID(D9,6,FIND("H",D9,6)-6)&lt;6,"5",1*MID(D9,6,FIND("H",D9,6)-6)&lt;9,"8",1*MID(D9,6,FIND("H",D9,6)-6)&gt;8,"12"),"S6-"&amp;_xlfn.IFS(1*MID(D9,6,FIND("H",D9,6)-6)&lt;4,"3",1*MID(D9,6,FIND("H",D9,6)-6)&lt;7,"6",1*MID(D9,6,FIND("H",D9,6)-6)&lt;10,"9",1*MID(D9,6,FIND("H",D9,6)-6)&lt;13,"12",1*MID(D9,6,FIND("H",D9,6)-6)&lt;15,"14",1*MID(D9,6,FIND("H",D9,6)-6)&lt;20,"19"))&amp;"、ポリプロピレン")</f>
        <v>S5-5、ポリプロピレン</v>
      </c>
      <c r="I16" s="58" t="str">
        <f>IF(OR(D5=0,D9="　"),"","n=mround(アンカー体長－0.4)÷@1.0m, 1.0)")</f>
        <v>n=mround(アンカー体長－0.4)÷@1.0m, 1.0)</v>
      </c>
      <c r="J16" s="16" t="str">
        <f>IF(OR(D5=0,D9="　"),"","個")</f>
        <v>個</v>
      </c>
      <c r="K16" s="38">
        <f>IF(OR(D5=0,D9="　"),"",MROUND((D15-0.4)/1,1))</f>
        <v>3</v>
      </c>
      <c r="L16" s="67">
        <f>IFERROR(D8*K16,"")</f>
        <v>3</v>
      </c>
    </row>
    <row r="17" spans="2:14" ht="11.1" customHeight="1">
      <c r="B17" s="41" t="s">
        <v>37</v>
      </c>
      <c r="C17" s="5" t="s">
        <v>16</v>
      </c>
      <c r="D17" s="66" cm="1">
        <f t="array" ref="D17">IF(OR(D5=0,D9="　"),"",_xlfn.SWITCH(1*MID(D12,1,2),0,_xlfn.SWITCH(1*MID(D9,4,1),5,_xlfn.SWITCH(1*MID(LEFT(D9, LEN(D9)-1),6,2),1,90,2,90,3,90,4,90,5,90,6,115,7,115,8,115,9,135,10,135,11,135,12,135),6,_xlfn.SWITCH(1*MID(LEFT(D9, LEN(D9)-1),6,2),1,90,2,90,3,90,4,115,5,115,6,115,7,135,8,135,9,135,10,146,11,146,12,146,13,165,14,165)),1,_xlfn.SWITCH(1*MID(D9,4,1),5,_xlfn.SWITCH(1*MID(LEFT(D9, LEN(D9)-1),6,2),1,90,2,90,3,90,4,90,5,115,6,115,7,135,8,135,9,135,10,135,11,165,12,165),6,_xlfn.SWITCH(1*MID(LEFT(D9, LEN(D9)-1),6,2),1,90,2,90,3,115,4,115,5,135,6,135,7,135,8,135,9,135,10,165,11,165,12,165,13,165,14,165)),2,_xlfn.SWITCH(1*MID(D9,4,1),5,_xlfn.SWITCH(1*MID(LEFT(D9, LEN(D9)-1),6,2),1,90,2,90,3,115,4,115,5,115,6,115,7,135,8,135,9,146,10,146,11,146,12,146),6,_xlfn.SWITCH(1*MID(LEFT(D9, LEN(D9)-1),6,2),1,90,2,90,3,115,4,115,5,135,6,135,7,146,8,146,9,146,10,165,11,165,12,165,13,216,14,216)),3,_xlfn.SWITCH(1*MID(D9,4,1),5,_xlfn.SWITCH(1*MID(LEFT(D9, LEN(D9)-1),6,2),1,115,2,115,3,115,4,115,5,115,6,135,7,135,8,135,9,146,10,146,11,146,12,146),6,_xlfn.SWITCH(1*MID(LEFT(D9, LEN(D9)-1),6,2),1,115,2,115,3,115,4,135,5,135,6,135,7,146,8,146,9,146,10,165,11,165,12,165,13,216,14,216)),4,_xlfn.SWITCH(1*MID(D9,4,1),5,_xlfn.SWITCH(1*MID(LEFT(D9, LEN(D9)-1),6,2),1,115,2,115,3,115,4,115,5,115,6,135,7,135,8,135,9,146,10,146,11,146,12,146),6,_xlfn.SWITCH(1*MID(LEFT(D9, LEN(D9)-1),6,2),1,115,2,115,3,115,4,135,5,135,6,135,7,146,8,146,9,146,10,165,11,165,12,165,13,216,14,216)),5,_xlfn.SWITCH(1*MID(D9,4,1),5,_xlfn.SWITCH(1*MID(LEFT(D9, LEN(D9)-1),6,2),1,90,2,90,3,115,4,115,5,115,6,115,7,135,8,135,9,165,10,165,11,165,12,165),6,_xlfn.SWITCH(1*MID(LEFT(D9, LEN(D9)-1),6,2),1,90,2,90,3,115,4,115,5,135,6,135,7,165,8,165,9,165,10,165,11,165,12,165,13,216,14,216)),6,_xlfn.SWITCH(1*MID(D9,4,1),5,_xlfn.SWITCH(1*MID(LEFT(D9, LEN(D9)-1),6,2),1,115,2,115,3,115,4,115,5,115,6,135,7,135,8,135,9,165,10,165,11,165,12,165),6,_xlfn.SWITCH(1*MID(LEFT(D9, LEN(D9)-1),6,2),1,115,2,115,3,115,4,135,5,135,6,135,7,165,8,165,9,165,10,165,11,165,12,165,13,216,14,216)),7,_xlfn.SWITCH(1*MID(D9,4,1),5,_xlfn.SWITCH(1*MID(LEFT(D9, LEN(D9)-1),6,2),1,115,2,115,3,115,4,115,5,115,6,135,7,135,8,135,9,165,10,165,11,165,12,165),6,_xlfn.SWITCH(1*MID(LEFT(D9, LEN(D9)-1),6,2),1,115,2,115,3,115,4,135,5,135,6,135,7,165,8,165,9,165,10,165,11,165,12,165,13,216,14,216))))</f>
        <v>90</v>
      </c>
      <c r="F17" s="24">
        <v>13</v>
      </c>
      <c r="G17" s="17" t="str">
        <f>IF(OR(D5=0,D9="　"),"","ﾊﾟｲﾛｯﾄｷｬｯﾌﾟ")</f>
        <v>ﾊﾟｲﾛｯﾄｷｬｯﾌﾟ</v>
      </c>
      <c r="H17" s="29" t="str" cm="1">
        <f t="array" ref="H17">IF(OR(D5=0,D9="　"),"",IF(MID(D9,4,1)="5","PC5-"&amp;_xlfn.IFS(1*MID(D9,6,FIND("H",D9,6)-6)&lt;5,"4",1*MID(D9,6,FIND("H",D9,6)-6)&lt;8,"7",1*MID(D9,6,FIND("H",D9,6)-6)&lt;10,"9",1*MID(D9,6,FIND("H",D9,6)-6)&gt;9,"12"),"PC6-"&amp;_xlfn.IFS(1*MID(D9,6,FIND("H",D9,6)-6)&lt;4,"3",1*MID(D9,6,FIND("H",D9,6)-6)&lt;8,"7",1*MID(D9,6,FIND("H",D9,6)-6)&lt;13,"12",1*MID(D9,6,FIND("H",D9,6)-6)&lt;15,"14",1*MID(D9,6,FIND("H",D9,6)-6)&lt;20,"19"))&amp;"、ポリプロピレン")</f>
        <v>PC5-4、ポリプロピレン</v>
      </c>
      <c r="I17" s="52" t="str">
        <f>IF(OR(D5=0,D9="　"),"","n=1")</f>
        <v>n=1</v>
      </c>
      <c r="J17" s="16" t="str">
        <f>IF(OR(D5=0,D9="　"),"","個")</f>
        <v>個</v>
      </c>
      <c r="K17" s="32">
        <f>IF(OR(D5=0,D9="　"),"",1)</f>
        <v>1</v>
      </c>
      <c r="L17" s="68">
        <f>IFERROR(D8*K17,"")</f>
        <v>1</v>
      </c>
    </row>
    <row r="18" spans="2:14" ht="11.1" customHeight="1">
      <c r="B18" s="43" t="s">
        <v>30</v>
      </c>
      <c r="C18" s="44" t="s">
        <v>31</v>
      </c>
      <c r="D18" s="59" t="str">
        <f>IF(OR(D5=0,D9="　"),"",IF(D16=D17,"OK","CHECK"))</f>
        <v>OK</v>
      </c>
      <c r="F18" s="24">
        <v>14</v>
      </c>
      <c r="G18" s="17" t="str">
        <f>IF(OR(D5=0,D9="　"),"","結束バンド")</f>
        <v>結束バンド</v>
      </c>
      <c r="H18" s="29" t="str">
        <f>IF(OR(D5=0,D9="　"),"","66ナイロン")</f>
        <v>66ナイロン</v>
      </c>
      <c r="I18" s="58" t="str">
        <f>IF(OR(D5=0,D9="　"),"","n=スペーサ数×2")</f>
        <v>n=スペーサ数×2</v>
      </c>
      <c r="J18" s="16" t="str">
        <f>IF(OR(D5=0,D9="　"),"","本")</f>
        <v>本</v>
      </c>
      <c r="K18" s="38">
        <f>IF(OR(D5=0,D9="　"),"",2*K16)</f>
        <v>6</v>
      </c>
      <c r="L18" s="67">
        <f>IFERROR(D8*K18,"")</f>
        <v>6</v>
      </c>
    </row>
    <row r="19" spans="2:14" ht="11.1" customHeight="1">
      <c r="B19" s="45" t="s">
        <v>12</v>
      </c>
      <c r="C19" s="9" t="s">
        <v>10</v>
      </c>
      <c r="D19" s="60">
        <f>IF(OR(D5=0,D9="　"),"──",SUM(D13:D14))</f>
        <v>11</v>
      </c>
      <c r="F19" s="24">
        <v>15</v>
      </c>
      <c r="G19" s="17" t="str">
        <f>IF(OR(D5=0,D9="　"),"","結束テープ")</f>
        <v>結束テープ</v>
      </c>
      <c r="H19" s="29" t="str">
        <f>IF(OR(D5=0,D9="　"),"","フィラメントテープ")</f>
        <v>フィラメントテープ</v>
      </c>
      <c r="I19" s="58" t="str">
        <f>IF(OR(D5=0,D9="　"),"","L=(自由長+緊張部長)÷@1.0m×テープ係数"&amp;IF(MID(D9,4,1)="5",_xlfn.IFS(1*MID(LEFT(D9, LEN(D9)-1),6,2)&lt;4,"0.8",1*MID(LEFT(D9, LEN(D9)-1),6,2)&lt;7,"1.0",1*MID(LEFT(D9, LEN(D9)-1),6,2)&lt;10,"1.2",1*MID(LEFT(D9, LEN(D9)-1),6,2)&lt;13,"1.4"),_xlfn.IFS(1*MID(LEFT(D9, LEN(D9)-1),6,2)&lt;4,"1.0",1*MID(LEFT(D9, LEN(D9)-1),6,2)&lt;7,"1.2",1*MID(LEFT(D9, LEN(D9)-1),6,2)&lt;10,"1.4",1*MID(LEFT(D9, LEN(D9)-1),6,2)&lt;15,"1.8")))</f>
        <v>L=(自由長+緊張部長)÷@1.0m×テープ係数0.8</v>
      </c>
      <c r="J19" s="16" t="str">
        <f>IF(OR(D5=0,D9="　"),"","m")</f>
        <v>m</v>
      </c>
      <c r="K19" s="42" cm="1">
        <f t="array" ref="K19">IF(OR(D5=0,D9="　"),"",MROUND((SUM(D19,D20))/1*IF(MID(D9,4,1)="5",_xlfn.SWITCH(1*MID(D9,6,FIND("H",D9,6)-6),1,0.8,2,0.8,3,0.8,4,1,5,1,6,1,7,1.2,8,1.2,9,1.2,10,1.4,11,1.4,12,1.4),_xlfn.SWITCH(1*MID(D9,6,FIND("H",D9,6)-6),1,1,2,1,3,1,4,1.2,5,1.2,6,1.2,7,1.4,8,1.4,9,1.4,10,1.8,11,1.8,12,1.8,13,1.8,14,1.8,15,2.5,16,2.5,17,2.5,18,2.5,19,2.5)),0.1))</f>
        <v>9.6000000000000014</v>
      </c>
      <c r="L19" s="69">
        <f>IFERROR(D8*K19,"")</f>
        <v>9.6000000000000014</v>
      </c>
    </row>
    <row r="20" spans="2:14" ht="11.1" customHeight="1">
      <c r="B20" s="47" t="s">
        <v>13</v>
      </c>
      <c r="C20" s="10" t="s">
        <v>10</v>
      </c>
      <c r="D20" s="61" cm="1">
        <f t="array" ref="D20">IF(OR(D5=0,D9="　"),"──",IF(MID(D9,4,1)="5",_xlfn.IFS(1*MID(LEFT(D9,LEN(D9)-1),6,2)&lt;8,1,1*MID(LEFT(D9,LEN(D9)-1),6,2)&lt;13,1.2),_xlfn.IFS(1*MID(LEFT(D9,LEN(D9)-1),6,2)&lt;6,1,1*MID(LEFT(D9,LEN(D9)-1),6,2)&lt;15,1.2)))</f>
        <v>1</v>
      </c>
      <c r="F20" s="24">
        <v>16</v>
      </c>
      <c r="G20" s="17" t="str">
        <f>IF(OR(D5=0,D9="　",1*MID(D12,1,2)=1,1*MID(D12,1,2)=5),"","注入ホース")</f>
        <v>注入ホース</v>
      </c>
      <c r="H20" s="29" t="str">
        <f>IF(OR(D5=0,D9="　",1*MID(D12,1,2)=1,1*MID(D12,1,2)=5),"","φ16/20、高密度ポリエチレン")</f>
        <v>φ16/20、高密度ポリエチレン</v>
      </c>
      <c r="I20" s="46" t="str">
        <f>IF(OR(D5=0,D9="　",1*MID(D12,1,2)=1,1*MID(D12,1,2)=5),"","L=テンドン長")</f>
        <v>L=テンドン長</v>
      </c>
      <c r="J20" s="16" t="str">
        <f>IF(OR(D5=0,D9="　",1*MID(D12,1,2)=1,1*MID(D12,1,2)=5),"","m")</f>
        <v>m</v>
      </c>
      <c r="K20" s="30">
        <f>IF(OR(D5=0,D9="　",1*MID(D12,1,2)=1,1*MID(D12,1,2)=5),"",MROUND(D22,0.1))</f>
        <v>15.200000000000001</v>
      </c>
      <c r="L20" s="67">
        <f>IFERROR(D8*K20,"")</f>
        <v>15.200000000000001</v>
      </c>
    </row>
    <row r="21" spans="2:14" ht="11.1" customHeight="1">
      <c r="B21" s="48" t="s">
        <v>19</v>
      </c>
      <c r="C21" s="10" t="s">
        <v>14</v>
      </c>
      <c r="D21" s="62">
        <f>IF(OR(D5=0,D9="　"),"──",0.2)</f>
        <v>0.2</v>
      </c>
      <c r="F21" s="24">
        <v>17</v>
      </c>
      <c r="G21" s="17" t="str" cm="1">
        <f t="array" ref="G21">_xlfn.IFS(OR(D5=0,D9="　",MID(D11,1,2)="なし",MID(D11,1,3)="受圧体",1*MID(D12,1,2)=1,1*MID(D12,1,2)&gt;=5),"",MID(D11,1,3)="のり面","のり面角度台座",MID(D11,1,3)="構造物","構造物壁面台座",MID(D11,1,3)="土留め","土留め台座",MID(D11,1,3)="個別台","個別台座")</f>
        <v>のり面角度台座</v>
      </c>
      <c r="H21" s="46" t="str" cm="1">
        <f t="array" ref="H21">IF(OR(D5=0,D9="　",G21=""),"",_xlfn.IFS(MID(D11,1,3)="のり面",IF(1*MID(D9,4,1)=5,_xlfn.IFS(1*MID(D9,6,FIND("H",D9,6)-6)&lt;5,"ST140",1*MID(D9,6,FIND("H",D9,6)-6)&lt;8,"ST170",1*MID(D9,6,FIND("H",D9,6)-6)&lt;13,"ST220"),_xlfn.IFS(1*MID(D9,6,FIND("H",D9,6)-6)&lt;4,"ST140",1*MID(D9,6,FIND("H",D9,6)-6)&lt;5,"ST170",1*MID(D9,6,FIND("H",D9,6)-6)&lt;8,"ST220",1*MID(D9,6,FIND("H",D9,6)-6)&lt;20,"非該当"))&amp;"、FCD450相当",OR(MID(D11,1,3)="構造物",MID(D11,1,3)="土留め",MID(D11,1,3)="個別台"),D9&amp;"用"&amp;_xlfn.IFS(MID(D11,1,3)="構造物","",MID(D11,1,3)="土留め",IF(1*MID(D9,4,1)=5,_xlfn.SWITCH(1*MID(D9,6,FIND("H",D9,6)-6),1,"DA110",2,"DA220",3,"DA330",4,"DA440",5,"DA550",6,"DA660",7,"DA770",8,"DA880",9,"DA990",10,"DA1100",11,"DA1210",12,"DA1320"),_xlfn.SWITCH(1*MID(D9,6,FIND("H",D9,6)-6),1,"DA220",2,"DA330",3,"DA550",4,"DA660",5,"DA880",6,"DA990",7,"DA1100",8,"DA1320",9,"DA1410",10,"DA1570",11,"DA1730",12,"DA1880",13,"DA2040",14,"DA2200")),MID(D11,1,3)="個別台",D24)))&amp;IF(OR(D5=0,D9="　",G21=""),"","、"&amp;_xlfn.IFS(MID(D7,1,3)="防食Ⅱ","HDZT77めっき",MID(D7,5,2)="塩害","ｱﾙﾐﾅｲｽﾞ処理",MID(D7,5,2)="酸性","重防食処理"))</f>
        <v>ST140、FCD450相当、HDZT77めっき</v>
      </c>
      <c r="I21" s="52" t="str">
        <f>IF(OR(D5=0,D9="　",G21=""),"","n=1")</f>
        <v>n=1</v>
      </c>
      <c r="J21" s="16" t="str">
        <f>IF(OR(D5=0,D9="　",G21=""),"","台")</f>
        <v>台</v>
      </c>
      <c r="K21" s="32">
        <f>IF(OR(D5=0,D9="　",G21=""),"",1)</f>
        <v>1</v>
      </c>
      <c r="L21" s="68">
        <f>IFERROR(D8*K21,"")</f>
        <v>1</v>
      </c>
    </row>
    <row r="22" spans="2:14" ht="11.1" customHeight="1">
      <c r="B22" s="50" t="s">
        <v>20</v>
      </c>
      <c r="C22" s="10" t="s">
        <v>10</v>
      </c>
      <c r="D22" s="63">
        <f>IF(OR(D5=0,D9="　"),"──",SUM(D15,D19:D21))</f>
        <v>15.2</v>
      </c>
      <c r="F22" s="24">
        <v>18</v>
      </c>
      <c r="G22" s="17" t="str">
        <f>IF(OR(D5=0,D9="　",MID(D11,1,3)&lt;&gt;"のり面",1*MID(D12,1,2)=1,1*MID(D12,1,2)&gt;=5),"","補剛板")</f>
        <v>補剛板</v>
      </c>
      <c r="H22" s="46" t="str" cm="1">
        <f t="array" ref="H22">IF(OR(D5=0,D9="　",G22=""),"",IF(MID(D9,4,1)="5","□"&amp;_xlfn.SWITCH(1*MID(D9,6,FIND("H",D9,6)-6),1,"210φ131t12",2,"210φ131t12",3,"240φ131t12",4,"270φ131t12",5,"280φ143t12",6,"310φ143t16",7,"350φ143t19",8,"350φ180t19",9,"350φ180t19",10,"350φ180t19",11,"350φ180t22",12,"350φ180t22"),"□"&amp;_xlfn.SWITCH(1*MID(D9,6,FIND("H",D9,6)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5=0,D9="　",G22=""),"","、"&amp;_xlfn.IFS(MID(D7,1,3)="防食Ⅱ","HDZT77めっき",MID(D7,5,2)="塩害","ｱﾙﾐﾅｲｽﾞ処理",MID(D7,5,2)="酸性","重防食処理"))</f>
        <v>□210φ131t12、SS400相当、HDZT77めっき</v>
      </c>
      <c r="I22" s="52" t="str">
        <f>IF(OR(D5=0,D9="　",G22=""),"","n=1")</f>
        <v>n=1</v>
      </c>
      <c r="J22" s="16" t="str">
        <f>IF(OR(D5=0,D9="　",G22=""),"","枚")</f>
        <v>枚</v>
      </c>
      <c r="K22" s="32">
        <f>IF(OR(D5=0,D9="　",G22=""),"",1)</f>
        <v>1</v>
      </c>
      <c r="L22" s="68">
        <f>IFERROR(D8*K22,"")</f>
        <v>1</v>
      </c>
    </row>
    <row r="23" spans="2:14" ht="11.1" customHeight="1">
      <c r="B23" s="51" t="s">
        <v>15</v>
      </c>
      <c r="C23" s="12" t="s">
        <v>10</v>
      </c>
      <c r="D23" s="64">
        <f>IF(OR(D5=0,D9="　"),"──",0.25)</f>
        <v>0.25</v>
      </c>
      <c r="F23" s="24">
        <v>19</v>
      </c>
      <c r="G23" s="17" t="str" cm="1">
        <f t="array" ref="G23">_xlfn.IFS(OR(D5=0,D9="　",MID(D10,1,3)="ｱﾙﾐ",1*MID(D12,1,2)=1,1*MID(D12,1,2)&gt;=5),"",MID(D10,1,3)&lt;&gt;"ｱﾙﾐ","テンドン補修用塗料")</f>
        <v>テンドン補修用塗料</v>
      </c>
      <c r="H23" s="38" t="str" cm="1">
        <f t="array" ref="H23">_xlfn.IFS(OR(D5=0,D9="　",MID(D10,1,3)="ｱﾙﾐ",1*MID(D12,1,2)=1,1*MID(D12,1,2)&gt;=5),"",MID(D10,1,3)&lt;&gt;"ｱﾙﾐ","エポキシ樹脂")</f>
        <v>エポキシ樹脂</v>
      </c>
      <c r="I23" s="52" t="str" cm="1">
        <f t="array" ref="I23">_xlfn.IFS(OR(D5=0,D9="　",MID(D10,1,3)="ｱﾙﾐ",1*MID(D12,1,2)=1,1*MID(D12,1,2)&gt;=5),"",MID(D10,1,3)&lt;&gt;"ｱﾙﾐ","W=PC鋼より線本数×"&amp;IF(MID(D9,4,1)="5","0.28","0.4"))</f>
        <v>W=PC鋼より線本数×0.28</v>
      </c>
      <c r="J23" s="16" t="str" cm="1">
        <f t="array" ref="J23">_xlfn.IFS(OR(D5=0,D9="　",MID(D10,1,3)="ｱﾙﾐ",1*MID(D12,1,2)=1,1*MID(D12,1,2)&gt;=5),"",MID(D10,1,3)&lt;&gt;"ｱﾙﾐ","g")</f>
        <v>g</v>
      </c>
      <c r="K23" s="77" cm="1">
        <f t="array" ref="K23">_xlfn.IFS(OR(D5=0,D9="　",MID(D10,1,3)="ｱﾙﾐ",1*MID(D12,1,2)=1,1*MID(D12,1,2)&gt;=5),"",MID(D10,1,3)&lt;&gt;"ｱﾙﾐ",MID(D9,6,FIND("H",D9,6)-6)*IF(MID(D9,4,1)="5",0.28,0.4))</f>
        <v>0.56000000000000005</v>
      </c>
      <c r="L23" s="78">
        <f>IFERROR(D8*K23,"")</f>
        <v>0.56000000000000005</v>
      </c>
    </row>
    <row r="24" spans="2:14" ht="11.1" customHeight="1">
      <c r="B24" s="65" t="s">
        <v>32</v>
      </c>
      <c r="C24" s="3" t="s">
        <v>33</v>
      </c>
      <c r="D24" s="76"/>
      <c r="F24" s="24">
        <v>20</v>
      </c>
      <c r="G24" s="17" t="str" cm="1">
        <f t="array" ref="G24">_xlfn.IFS(OR(D5=0,D9="　",MID(D10,1,3)="ｱﾙﾐ",1*MID(D12,1,2)=1,1*MID(D12,1,2)&gt;=5),"",MID(D10,1,3)&lt;&gt;"ｱﾙﾐ","長期防錆スプレー")</f>
        <v>長期防錆スプレー</v>
      </c>
      <c r="H24" s="38" t="str" cm="1">
        <f t="array" ref="H24">_xlfn.IFS(OR(D5=0,D9="　",MID(D10,1,3)="ｱﾙﾐ",1*MID(D12,1,2)=1,1*MID(D12,1,2)&gt;=5),"",MID(D10,1,3)&lt;&gt;"ｱﾙﾐ","防錆オイル")</f>
        <v>防錆オイル</v>
      </c>
      <c r="I24" s="52" t="str" cm="1">
        <f t="array" ref="I24">_xlfn.IFS(OR(D5=0,D9="　",MID(D10,1,3)="ｱﾙﾐ",1*MID(D12,1,2)=1,1*MID(D12,1,2)&gt;=5),"",MID(D10,1,3)&lt;&gt;"ｱﾙﾐ","n=0.01×(PC鋼より線本数+"&amp;IF(MID(D9,4,1)="5","6","12")&amp;")")</f>
        <v>n=0.01×(PC鋼より線本数+6)</v>
      </c>
      <c r="J24" s="16" t="str" cm="1">
        <f t="array" ref="J24">_xlfn.IFS(OR(D5=0,D9="　",MID(D10,1,3)="ｱﾙﾐ",1*MID(D12,1,2)=1,1*MID(D12,1,2)&gt;=5),"",MID(D10,1,3)&lt;&gt;"ｱﾙﾐ","缶")</f>
        <v>缶</v>
      </c>
      <c r="K24" s="77" cm="1">
        <f t="array" ref="K24">_xlfn.IFS(OR(D5=0,D9="　",MID(D10,1,3)="ｱﾙﾐ",1*MID(D12,1,2)=1,1*MID(D12,1,2)&gt;=5),"",MID(D10,1,3)&lt;&gt;"ｱﾙﾐ",0.01*(IF(MID(D9,4,1)="5",6,12)+MID(LEFT(D9,LEN(D9)-1),6,2)))</f>
        <v>0.08</v>
      </c>
      <c r="L24" s="78">
        <f>IFERROR(D8*K24,"")</f>
        <v>0.08</v>
      </c>
    </row>
    <row r="25" spans="2:14" ht="11.1" customHeight="1">
      <c r="F25" s="24">
        <v>21</v>
      </c>
      <c r="G25" s="17" t="str">
        <f>IF(OR(D5=0,D9="　",1*MID(D12,1,2)&lt;=1,1*MID(D12,1,2)=3,,1*MID(D12,1,2)=6),"","ﾌﾘｰﾊﾟｯｶｰ注入ﾎｰｽ")</f>
        <v/>
      </c>
      <c r="H25" s="29" t="str">
        <f>IF(OR(D5=0,D9="　",1*MID(D12,1,2)&lt;=1,1*MID(D12,1,2)=3,,1*MID(D12,1,2)=6),"","φ16/20、ポリエチレン")</f>
        <v/>
      </c>
      <c r="I25" s="29" t="str">
        <f>IF(OR(D5=0,D9="　",1*MID(D12,1,2)&lt;=1,1*MID(D12,1,2)=3,,1*MID(D12,1,2)=6),"","L=自由長+緊張部長")</f>
        <v/>
      </c>
      <c r="J25" s="16" t="str">
        <f>IF(OR(D5=0,D9="　",1*MID(D12,1,2)&lt;=1,1*MID(D12,1,2)=3,,1*MID(D12,1,2)=6),"","m")</f>
        <v/>
      </c>
      <c r="K25" s="30" t="str">
        <f>IF(OR(D5=0,D9="　",1*MID(D12,1,2)&lt;=1,1*MID(D12,1,2)=3,,1*MID(D12,1,2)=6),"",D19+D20)</f>
        <v/>
      </c>
      <c r="L25" s="67" t="str">
        <f>IFERROR(D8*K25,"")</f>
        <v/>
      </c>
    </row>
    <row r="26" spans="2:14" ht="11.1" customHeight="1">
      <c r="F26" s="24">
        <v>22</v>
      </c>
      <c r="G26" s="17" t="str">
        <f>IF(OR(D5=0,D9="　",1*MID(D12,1,2)&lt;=1,1*MID(D12,1,2)=3,,1*MID(D12,1,2)=6),"","フリーパッカー")</f>
        <v/>
      </c>
      <c r="H26" s="52" t="str" cm="1">
        <f t="array" ref="H26">IF(OR(D5=0,D9="　",1*MID(D12,1,2)&lt;=1,1*MID(D12,1,2)=3,1*MID(D12,1,2)=6),"",_xlfn.SWITCH(D16,90,"PA-170",115,"PA-200",135,"PA-240",146,"PA-290",165,"PA-350",216,"PA-420")&amp;"、織布")</f>
        <v/>
      </c>
      <c r="I26" s="52" t="str">
        <f>IF(OR(D5=0,D9="　",1*MID(D12,1,2)&lt;=1,1*MID(D12,1,2)=3,1*MID(D12,1,2)=6),"","L=自由長+0.5")</f>
        <v/>
      </c>
      <c r="J26" s="16" t="str">
        <f>IF(OR(D5=0,D9="　",1*MID(D12,1,2)&lt;=1,1*MID(D12,1,2)=3,,1*MID(D12,1,2)=6),"","m")</f>
        <v/>
      </c>
      <c r="K26" s="30" t="str">
        <f>IF(OR(D5=0,D9="　",1*MID(D12,1,2)&lt;=1,1*MID(D12,1,2)=3,,1*MID(D12,1,2)=6),"",D19+0.5)</f>
        <v/>
      </c>
      <c r="L26" s="69" t="str">
        <f>IFERROR(D8*K26,"")</f>
        <v/>
      </c>
      <c r="N26" s="53"/>
    </row>
    <row r="27" spans="2:14" ht="11.1" customHeight="1">
      <c r="F27" s="24">
        <v>23</v>
      </c>
      <c r="G27" s="17" t="str">
        <f>IF(OR(D5=0,D9="　",1*MID(D12,1,2)&lt;=1,1*MID(D12,1,2)=3,,1*MID(D12,1,2)=6),"","ﾌﾘｰﾊﾟｯｶｰ取付加工")</f>
        <v/>
      </c>
      <c r="H27" s="29" t="str">
        <f>IF(OR(D5=0,D9="　",1*MID(D12,1,2)&lt;=1,1*MID(D12,1,2)=3,,1*MID(D12,1,2)=6),"","材工")</f>
        <v/>
      </c>
      <c r="I27" s="29" t="str">
        <f>IF(OR(D5=0,D9="　",1*MID(D12,1,2)&lt;=1,1*MID(D12,1,2)=3,,1*MID(D12,1,2)=6),"","n=1")</f>
        <v/>
      </c>
      <c r="J27" s="16" t="str">
        <f>IF(OR(D5=0,D9="　",1*MID(D12,1,2)&lt;=1,1*MID(D12,1,2)=3,,1*MID(D12,1,2)=6),"","式")</f>
        <v/>
      </c>
      <c r="K27" s="32" t="str">
        <f>IF(OR(D5=0,D9="　",1*MID(D12,1,2)&lt;=1,1*MID(D12,1,2)=3,,1*MID(D12,1,2)=6),"",1)</f>
        <v/>
      </c>
      <c r="L27" s="70" t="str">
        <f>IFERROR(D8*K27,"")</f>
        <v/>
      </c>
      <c r="N27" s="53"/>
    </row>
    <row r="28" spans="2:14" ht="11.1" customHeight="1">
      <c r="F28" s="24">
        <v>24</v>
      </c>
      <c r="G28" s="17" t="str">
        <f>IF(OR(D5=0,D9="　",1*MID(D12,1,2)&lt;=2,1*MID(D12,1,2)=5),"","フリクションパッカー")</f>
        <v/>
      </c>
      <c r="H28" s="38" t="str" cm="1">
        <f t="array" ref="H28">IF(OR(D5=0,D9="　",1*MID(D12,1,2)&lt;=2,1*MID(D12,1,2)=5),"",_xlfn.SWITCH(D16,90,"FP125",115,"FP125",135,"FP150",146,"FP175",165,"FP200",216,"FP235")&amp;"、パイレン布")</f>
        <v/>
      </c>
      <c r="I28" s="38" t="str">
        <f>IF(OR(D5=0,D9="　",1*MID(D12,1,2)&lt;=2,1*MID(D12,1,2)=5),"","L=アンカー体長+0.5")</f>
        <v/>
      </c>
      <c r="J28" s="16" t="str">
        <f>IF(OR(D5=0,D9="　",1*MID(D12,1,2)&lt;=2,1*MID(D12,1,2)=5),"","m")</f>
        <v/>
      </c>
      <c r="K28" s="30" t="str">
        <f>IF(OR(D5=0,D9="　",1*MID(D12,1,2)&lt;=2,1*MID(D12,1,2)=5),"",D15+0.5)</f>
        <v/>
      </c>
      <c r="L28" s="68" t="str">
        <f>IFERROR(D8*K28,"")</f>
        <v/>
      </c>
      <c r="N28" s="53"/>
    </row>
    <row r="29" spans="2:14" ht="11.1" customHeight="1">
      <c r="F29" s="24">
        <v>25</v>
      </c>
      <c r="G29" s="17" t="str">
        <f>IF(OR(D5=0,D9="　",1*MID(D12,1,2)&lt;=2,1*MID(D12,1,2)=5),"","ﾌﾘｸｼｮﾝﾊﾟｯｶｰ取付加工")</f>
        <v/>
      </c>
      <c r="H29" s="29" t="str">
        <f>IF(OR(D5=0,D9="　",1*MID(D12,1,2)&lt;=2,1*MID(D12,1,2)=5),"","材工")</f>
        <v/>
      </c>
      <c r="I29" s="29" t="str">
        <f>IF(OR(D5=0,D9="　",1*MID(D12,1,2)&lt;=2,1*MID(D12,1,2)=5),"","n=1")</f>
        <v/>
      </c>
      <c r="J29" s="16" t="str">
        <f>IF(OR(D5=0,D9="　",1*MID(D12,1,2)&lt;=2,1*MID(D12,1,2)=5),"","式")</f>
        <v/>
      </c>
      <c r="K29" s="32" t="str">
        <f>IF(OR(D5=0,D9="　",1*MID(D12,1,2)&lt;=2,1*MID(D12,1,2)=5),"",1)</f>
        <v/>
      </c>
      <c r="L29" s="70" t="str">
        <f>IFERROR(D8*K29,"")</f>
        <v/>
      </c>
      <c r="N29" s="53"/>
    </row>
    <row r="30" spans="2:14" ht="11.1" customHeight="1">
      <c r="F30" s="24">
        <v>26</v>
      </c>
      <c r="G30" s="17" t="str">
        <f>IF(OR(D5=0,D9="　",1*MID(D12,1,2)=0,1*MID(D12,1,2)=2,1*MID(D12,1,2)=3,1*MID(D12,1,2)=4),"","試験ﾊﾟｯｶｰ水注入ﾎｰｽ")</f>
        <v/>
      </c>
      <c r="H30" s="38" t="str">
        <f>IF(OR(D5=0,D9="　",1*MID(D12,1,2)=0,1*MID(D12,1,2)=2,1*MID(D12,1,2)=3,1*MID(D12,1,2)=4),"","φ4/6、ナイロン")</f>
        <v/>
      </c>
      <c r="I30" s="38" t="str">
        <f>IF(OR(D5=0,D9="　",1*MID(D12,1,2)=0,1*MID(D12,1,2)=2,1*MID(D12,1,2)=3,1*MID(D12,1,2)=4),"","L=自由長+緊張部長")</f>
        <v/>
      </c>
      <c r="J30" s="79" t="str">
        <f>IF(OR(D5=0,D9="　",1*MID(D12,1,2)=0,1*MID(D12,1,2)=2,1*MID(D12,1,2)=3,1*MID(D12,1,2)=4),"","m")</f>
        <v/>
      </c>
      <c r="K30" s="80" t="str">
        <f>IF(OR(D5=0,D9="　",1*MID(D12,1,2)=0,1*MID(D12,1,2)=2,1*MID(D12,1,2)=3,1*MID(D12,1,2)=4),"",D19+D20)</f>
        <v/>
      </c>
      <c r="L30" s="81" t="str">
        <f>IFERROR(D8*K30,"")</f>
        <v/>
      </c>
      <c r="N30" s="53"/>
    </row>
    <row r="31" spans="2:14" ht="11.1" customHeight="1">
      <c r="F31" s="24">
        <v>27</v>
      </c>
      <c r="G31" s="17" t="str">
        <f>IF(OR(D5=0,D9="　",1*MID(D12,1,2)=0,1*MID(D12,1,2)=2,1*MID(D12,1,2)=3,1*MID(D12,1,2)=4),"","引抜試験パッカー")</f>
        <v/>
      </c>
      <c r="H31" s="38" t="str" cm="1">
        <f t="array" ref="H31">IF(OR(D5=0,D9="　",1*MID(D12,1,2)=0,1*MID(D12,1,2)=2,1*MID(D12,1,2)=3,1*MID(D12,1,2)=4),"",_xlfn.SWITCH(D16,90,"PU90",115,"PU115",135,"PU135",146,"PU146",165,"PU165")&amp;"、3層構造(鋼管･ゴム･布)")</f>
        <v/>
      </c>
      <c r="I31" s="38" t="str">
        <f>IF(OR(D5=0,D9="　",1*MID(D12,1,2)=0,1*MID(D12,1,2)=2,1*MID(D12,1,2)=3,1*MID(D12,1,2)=4),"","n=1")</f>
        <v/>
      </c>
      <c r="J31" s="79" t="str">
        <f>IF(OR(D5=0,D9="　",1*MID(D12,1,2)=0,1*MID(D12,1,2)=2,1*MID(D12,1,2)=3,1*MID(D12,1,2)=4),"","式")</f>
        <v/>
      </c>
      <c r="K31" s="32" t="str" cm="1">
        <f t="array" ref="K31">IF(OR(D5=0,D9="　",1*MID(D12,1,2)=0,1*MID(D12,1,2)=2,1*MID(D12,1,2)=3,1*MID(D12,1,2)=4),"",_xlfn.IFS(OR(1*MID(D12,1,2)=1,1*MID(D12,1,2)&gt;=5),1))</f>
        <v/>
      </c>
      <c r="L31" s="68" t="str">
        <f>IFERROR(D8*K31,"")</f>
        <v/>
      </c>
      <c r="N31" s="53"/>
    </row>
    <row r="32" spans="2:14" ht="11.1" customHeight="1">
      <c r="F32" s="24">
        <v>28</v>
      </c>
      <c r="G32" s="17" t="str">
        <f>IF(OR(D5=0,D9="　",1*MID(D12,1,2)=0,1*MID(D12,1,2)=2,1*MID(D12,1,2)=3,1*MID(D12,1,2)=4),"","引抜試験パッカー取付加工")</f>
        <v/>
      </c>
      <c r="H32" s="38" t="str">
        <f>IF(OR(D5=0,D9="　",1*MID(D12,1,2)=0,1*MID(D12,1,2)=2,1*MID(D12,1,2)=3,1*MID(D12,1,2)=4),"","材工")</f>
        <v/>
      </c>
      <c r="I32" s="38" t="str">
        <f>IF(OR(D5=0,D9="　",1*MID(D12,1,2)=0,1*MID(D12,1,2)=2,1*MID(D12,1,2)=3,1*MID(D12,1,2)=4),"","n=1")</f>
        <v/>
      </c>
      <c r="J32" s="79" t="str" cm="1">
        <f t="array" ref="J32">IF(OR(D5=0,D9="　",1*MID(D12,1,2)=0,1*MID(D12,1,2)=2,1*MID(D12,1,2)=3,1*MID(D12,1,2)=4),"",_xlfn.IFS(OR(1*MID(D12,1,2)=1,1*MID(D12,1,2)&gt;=5),"式"))</f>
        <v/>
      </c>
      <c r="K32" s="32" t="str" cm="1">
        <f t="array" ref="K32">IF(OR(D5=0,D9="　",1*MID(D12,1,2)=0,1*MID(D12,1,2)=2,1*MID(D12,1,2)=3,1*MID(D12,1,2)=4),"",_xlfn.IFS(OR(1*MID(D12,1,2)=1,1*MID(D12,1,2)&gt;=5),1))</f>
        <v/>
      </c>
      <c r="L32" s="68" t="str">
        <f>IFERROR(D8*K32,"")</f>
        <v/>
      </c>
      <c r="N32" s="53"/>
    </row>
    <row r="33" spans="2:19" ht="11.1" customHeight="1">
      <c r="F33" s="24">
        <v>29</v>
      </c>
      <c r="G33" s="17" t="str">
        <f>IF(OR(D5=0,D9="　",1*MID(D12,1,2)=0,1*MID(D12,1,2)=2,1*MID(D12,1,2)=3,1*MID(D12,1,2)=4),"","自由長洗浄ﾎｰｽ")</f>
        <v/>
      </c>
      <c r="H33" s="38" t="str">
        <f>IF(OR(D5=0,D9="　",1*MID(D12,1,2)=0,1*MID(D12,1,2)=2,1*MID(D12,1,2)=3,1*MID(D12,1,2)=4),"","φ16/20、ポリエチレン")</f>
        <v/>
      </c>
      <c r="I33" s="38" t="str">
        <f>IF(OR(D5=0,D9="　",1*MID(D12,1,2)=0,1*MID(D12,1,2)=2,1*MID(D12,1,2)=3,1*MID(D12,1,2)=4),"","L=自由長+0.5")</f>
        <v/>
      </c>
      <c r="J33" s="79" t="str">
        <f>IF(OR(D5=0,D9="　",1*MID(D12,1,2)=0,1*MID(D12,1,2)=2,1*MID(D12,1,2)=3,1*MID(D12,1,2)=4),"","m")</f>
        <v/>
      </c>
      <c r="K33" s="32" t="str">
        <f>IF(OR(D5=0,D9="　",1*MID(D12,1,2)=0,1*MID(D12,1,2)=2,1*MID(D12,1,2)=3,1*MID(D12,1,2)=4),"",D19+0.5)</f>
        <v/>
      </c>
      <c r="L33" s="81" t="str">
        <f>IFERROR(D8*K33,"")</f>
        <v/>
      </c>
      <c r="N33" s="53"/>
      <c r="O33" s="53"/>
      <c r="P33" s="4"/>
      <c r="Q33" s="53"/>
      <c r="R33" s="53"/>
      <c r="S33" s="53"/>
    </row>
    <row r="34" spans="2:19" ht="11.1" customHeight="1">
      <c r="D34" s="1" t="s">
        <v>9</v>
      </c>
      <c r="F34" s="56">
        <v>30</v>
      </c>
      <c r="G34" s="82" t="str">
        <f>IF(OR(D5=0,D9="　",1*MID(D12,1,2)&lt;=2,1*MID(D12,1,2)=5,MID(D34,6,2)&lt;&gt;"あり"),"","確認ホース")</f>
        <v/>
      </c>
      <c r="H34" s="83" t="str">
        <f>IF(OR(D5=0,D9="　",1*MID(D12,1,2)&lt;=2,1*MID(D12,1,2)=5,MID(D34,6,2)&lt;&gt;"あり"),"","φ17、ポリエチレン")</f>
        <v/>
      </c>
      <c r="I34" s="83"/>
      <c r="J34" s="84" t="str">
        <f>IF(OR(D5=0,D9="　",1*MID(D12,1,2)&lt;=2,1*MID(D12,1,2)=5,MID(D34,6,2)&lt;&gt;"あり"),"","m")</f>
        <v/>
      </c>
      <c r="K34" s="85" t="str">
        <f>IF(OR(D4=0,D9="　",1*MID(D12,1,2)&lt;=2,1*MID(D12,1,2)=5,MID(D34,6,2)&lt;&gt;"あり"),"",0.5+MROUND(D19+D21,0.1))</f>
        <v/>
      </c>
      <c r="L34" s="86" t="str">
        <f>IFERROR(D8*K34,"")</f>
        <v/>
      </c>
    </row>
    <row r="36" spans="2:19" ht="11.1" customHeight="1">
      <c r="B36" s="19" t="s">
        <v>1</v>
      </c>
      <c r="D36" s="4"/>
      <c r="G36" s="73" t="s">
        <v>39</v>
      </c>
    </row>
    <row r="37" spans="2:19" ht="11.1" customHeight="1">
      <c r="G37" s="99">
        <f>D38</f>
        <v>2</v>
      </c>
      <c r="H37" s="55" t="str">
        <f>IF(D39=0,"",D40&amp;" "&amp;D43&amp; "："&amp;TEXT(D56,"L=##0.00")&amp;"m"&amp;TEXT(D54,",L1=##0.00")&amp;"m"&amp;TEXT(D53,",Lf=##0.00")&amp;"m"&amp;TEXT(D49,",LA=##0.00")&amp;"m"&amp;TEXT(D55,",L2=##0.00")&amp;"m")</f>
        <v>(2)1列目：2段/4段 EHD5-2H：L=10.70m,L1=1.00m,Lf=6.50m,LA=3.00m,L2=0.20m</v>
      </c>
      <c r="I37" s="55"/>
      <c r="J37" s="18"/>
    </row>
    <row r="38" spans="2:19" ht="11.1" customHeight="1">
      <c r="B38" s="13" t="s">
        <v>2</v>
      </c>
      <c r="C38" s="3" t="s">
        <v>3</v>
      </c>
      <c r="D38" s="98">
        <f>1+(ROW()-ROW($D$4))/34</f>
        <v>2</v>
      </c>
      <c r="F38" s="20"/>
      <c r="G38" s="21" t="s">
        <v>21</v>
      </c>
      <c r="H38" s="22" t="s">
        <v>22</v>
      </c>
      <c r="I38" s="22" t="s">
        <v>38</v>
      </c>
      <c r="J38" s="23" t="s">
        <v>23</v>
      </c>
      <c r="K38" s="22" t="s">
        <v>24</v>
      </c>
      <c r="L38" s="3" t="s">
        <v>4</v>
      </c>
    </row>
    <row r="39" spans="2:19" ht="11.1" customHeight="1">
      <c r="B39" s="28" t="s">
        <v>25</v>
      </c>
      <c r="C39" s="5" t="s">
        <v>26</v>
      </c>
      <c r="D39" s="6">
        <v>1</v>
      </c>
      <c r="F39" s="24">
        <v>1</v>
      </c>
      <c r="G39" s="25" t="str">
        <f>IF(OR(D39=0,D43="　"),"","硅砂付着ECFﾃﾝﾄﾞﾝ")</f>
        <v>硅砂付着ECFﾃﾝﾄﾞﾝ</v>
      </c>
      <c r="H39" s="26" t="str">
        <f>IF(OR(D39=0,D43="　"),"",D43&amp;" ("&amp;MID(D43,6,FIND("H",D43,6)-6)&amp;IF(MID(D43,4,1)="5","φ12.7","φ15.2")&amp;")")</f>
        <v>EHD5-2H (2φ12.7)</v>
      </c>
      <c r="I39" s="57" t="str">
        <f>IF(OR(D39=0,D43="　"),"","W=テンドン長×PC鋼より線本数×"&amp;IF(MID(D43,4,1)="5","0.774","1.101")&amp;"kg/m")</f>
        <v>W=テンドン長×PC鋼より線本数×0.774kg/m</v>
      </c>
      <c r="J39" s="14" t="str">
        <f>IF(OR(D39=0,D43="　"),"","kg")</f>
        <v>kg</v>
      </c>
      <c r="K39" s="27">
        <f>IF(OR(D39=0,D43="　"),"",MROUND(D56*MID(D43,6,FIND("H",D43,6)-6)*IF(MID(D43,4,1)="5","0.774","1.101"),0.01))</f>
        <v>16.559999999999999</v>
      </c>
      <c r="L39" s="15">
        <f>IFERROR(D42*K39,"")</f>
        <v>16.559999999999999</v>
      </c>
    </row>
    <row r="40" spans="2:19" ht="11.1" customHeight="1">
      <c r="B40" s="31" t="s">
        <v>45</v>
      </c>
      <c r="C40" s="71" t="s">
        <v>6</v>
      </c>
      <c r="D40" s="74" t="s">
        <v>108</v>
      </c>
      <c r="F40" s="24">
        <v>2</v>
      </c>
      <c r="G40" s="17" t="str">
        <f>IF(OR(D39=0,D43="　"),"","アンカー工場加工")</f>
        <v>アンカー工場加工</v>
      </c>
      <c r="H40" s="29"/>
      <c r="I40" s="46" t="str">
        <f>IF(OR(D39=0,D43="　"),"","L=テンドン長")</f>
        <v>L=テンドン長</v>
      </c>
      <c r="J40" s="16" t="str">
        <f>IF(OR(D39=0,D43="　"),"","m")</f>
        <v>m</v>
      </c>
      <c r="K40" s="30">
        <f>IF(OR(D39=0,D43="　"),"",MROUND(D56,0.1))</f>
        <v>10.700000000000001</v>
      </c>
      <c r="L40" s="67">
        <f>IFERROR(D42*K40,"")</f>
        <v>10.700000000000001</v>
      </c>
    </row>
    <row r="41" spans="2:19" ht="11.1" customHeight="1">
      <c r="B41" s="34" t="s">
        <v>7</v>
      </c>
      <c r="C41" s="49" t="s">
        <v>6</v>
      </c>
      <c r="D41" s="2" t="s">
        <v>34</v>
      </c>
      <c r="F41" s="24">
        <v>3</v>
      </c>
      <c r="G41" s="17" t="str">
        <f>IF(OR(D39=0,D43="　",1*MID(D46,1,2)=1,1*MID(D46,1,2)&gt;=5),"","頭部キャップ")</f>
        <v>頭部キャップ</v>
      </c>
      <c r="H41" s="29" t="str" cm="1">
        <f t="array" ref="H41">IF(OR(D39=0,D43="　",1*MID(D46,1,2)=1,1*MID(D46,1,2)&gt;=5),"",IF(MID(D43,4,1)="5",_xlfn.SWITCH(1*MID(D43,6,FIND("H",D43,6)-6),1,"S",2,"S",3,"S",4,"S",5,"M",6,"M",7,"M",8,"L",9,"L",10,"L",11,"L",12,"L"),_xlfn.SWITCH(1*MID(D43,6,FIND("H",D43,6)-6),1,"S",2,"S",3,"M",4,"M",5,"L",6,"L",7,"L",8,"LL",9,"LL",10,"LL",11,"LL",12,"LL",13,"LL",14,"LL",15,"3L",16,"3L",17,"3L",18,"3L",19,"3L"))&amp;"型"&amp;MID(D44,IF(MID(D44,1,1)="G",4,1),10)&amp;IF(OR(MID(D44,1,2)="透明",MID(D44,1,2)="5窓"),"、PC樹脂","")&amp;IF(MID(D44,4,2)="鋼製","、SS400相当、HDZT77めっき","、ｱﾙﾐAC4C相当"))&amp;_xlfn.IFS(OR(D39=0,D43="　",MID(D41,1,3)="防食Ⅱ"),"",MID(D41,5,2)="塩害","、ﾀｹｺｰﾄ処理",MID(D41,5,2)="酸性","、重防食処理")</f>
        <v>S型透明ｷｬｯﾌﾟ、PC樹脂、ｱﾙﾐAC4C相当</v>
      </c>
      <c r="I41" s="52" t="str">
        <f>IF(OR(D39=0,D43="　",1*MID(D46,1,2)=1,1*MID(D46,1,2)&gt;=5),"","n=1")</f>
        <v>n=1</v>
      </c>
      <c r="J41" s="16" t="str">
        <f>IF(OR(D39=0,D43="　",1*MID(D46,1,2)=1,1*MID(D46,1,2)&gt;=5),"","個")</f>
        <v>個</v>
      </c>
      <c r="K41" s="32">
        <f>IF(OR(D39=0,D43="　",1*MID(D46,1,2)=1,1*MID(D46,1,2)&gt;=5),"",1)</f>
        <v>1</v>
      </c>
      <c r="L41" s="68">
        <f>IFERROR(D42*K41,"")</f>
        <v>1</v>
      </c>
    </row>
    <row r="42" spans="2:19" ht="11.1" customHeight="1">
      <c r="B42" s="31" t="s">
        <v>27</v>
      </c>
      <c r="C42" s="10" t="s">
        <v>5</v>
      </c>
      <c r="D42" s="75">
        <v>1</v>
      </c>
      <c r="F42" s="24">
        <v>4</v>
      </c>
      <c r="G42" s="17" t="str">
        <f>IF(OR(D39=0,D43="　",1*MID(D46,1,2)=1,1*MID(D46,1,2)&gt;=5),"","アンカーヘッド")</f>
        <v>アンカーヘッド</v>
      </c>
      <c r="H42" s="29" t="str" cm="1">
        <f t="array" ref="H42">IF(OR(D39=0,D43="　",1*MID(D46,1,2)=1,1*MID(D46,1,2)&gt;=5),"",IF(MID(D43,4,1)="5","G5"&amp;_xlfn.SWITCH(1*MID(D43,6,FIND("H",D43,6)-6),1,"01",2,"02",3,"03",4,"04",5,"07",6,"07",7,"07",8,"09",9,"09",10,"12",11,"12",12,"12"),"G6"&amp;_xlfn.SWITCH(1*MID(D43,6,FIND("H",D43,6)-6),1,"01",2,"02",3,"03",4,"04",5,"07",6,"07",7,"07",8,"09",9,"09",10,"12",11,"12",12,"12",13,"14",14,"14",15,"19",16,"19",17,"19",18,"19",19,"19"))&amp;"、S45C相当")&amp;IF(OR(D39=0,D43="　",MID(D44,1,3)="ｱﾙﾐ",1*MID(D46,1,2)=1,1*MID(D46,1,2)&gt;=5),"","、無電解Niめっき")</f>
        <v>G502、S45C相当、無電解Niめっき</v>
      </c>
      <c r="I42" s="52" t="str">
        <f>IF(OR(D39=0,D43="　",1*MID(D46,1,2)=1,1*MID(D46,1,2)&gt;=5),"","n=1")</f>
        <v>n=1</v>
      </c>
      <c r="J42" s="16" t="str">
        <f>IF(OR(D39=0,D43="　",1*MID(D46,1,2)=1,1*MID(D46,1,2)&gt;=5),"","個")</f>
        <v>個</v>
      </c>
      <c r="K42" s="32">
        <f>IF(OR(D39=0,D43="　",1*MID(D46,1,2)=1,1*MID(D46,1,2)&gt;=5),"",1)</f>
        <v>1</v>
      </c>
      <c r="L42" s="68">
        <f>IFERROR(D42*K42,"")</f>
        <v>1</v>
      </c>
    </row>
    <row r="43" spans="2:19" ht="11.1" customHeight="1">
      <c r="B43" s="33" t="s">
        <v>28</v>
      </c>
      <c r="C43" s="71" t="s">
        <v>6</v>
      </c>
      <c r="D43" s="7" t="s">
        <v>115</v>
      </c>
      <c r="F43" s="24">
        <v>5</v>
      </c>
      <c r="G43" s="17" t="str">
        <f>IF(OR(D39=0,D43="　",1*MID(D46,1,2)=1,1*MID(D46,1,2)&gt;=5),"","ナット")</f>
        <v>ナット</v>
      </c>
      <c r="H43" s="29" t="str" cm="1">
        <f t="array" ref="H43">IF(OR(D39=0,D43="　",1*MID(D46,1,2)=1,1*MID(D46,1,2)&gt;=5),"",IF(MID(D43,4,1)="5","G5"&amp;_xlfn.SWITCH(1*MID(D43,6,FIND("H",D43,6)-6),1,"01",2,"02",3,"03",4,"04",5,"07",6,"07",7,"07",8,"09",9,"09",10,"12",11,"12",12,"12"),"G6"&amp;_xlfn.SWITCH(1*MID(D43,6,FIND("H",D43,6)-6),1,"01",2,"02",3,"03",4,"04",5,"07",6,"07",7,"07",8,"09",9,"09",10,"12",11,"12",12,"12",13,"14",14,"14",15,"19",16,"19",17,"19",18,"19",19,"19"))&amp;"、S45C相当")&amp;IF(OR(D39=0,D43="　",MID(D44,1,3)="ｱﾙﾐ",1*MID(D46,1,2)=1,1*MID(D46,1,2)&gt;=5),"","、無電解Niめっき")</f>
        <v>G502、S45C相当、無電解Niめっき</v>
      </c>
      <c r="I43" s="52" t="str">
        <f>IF(OR(D39=0,D43="　",1*MID(D46,1,2)=1,1*MID(D46,1,2)&gt;=5),"","n=1")</f>
        <v>n=1</v>
      </c>
      <c r="J43" s="16" t="str">
        <f>IF(OR(D39=0,D43="　",1*MID(D46,1,2)=1,1*MID(D46,1,2)&gt;=5),"","個")</f>
        <v>個</v>
      </c>
      <c r="K43" s="32">
        <f>IF(OR(D39=0,D43="　",1*MID(D46,1,2)=1,1*MID(D46,1,2)&gt;=5),"",1)</f>
        <v>1</v>
      </c>
      <c r="L43" s="68">
        <f>IFERROR(D42*K43,"")</f>
        <v>1</v>
      </c>
    </row>
    <row r="44" spans="2:19" ht="11.1" customHeight="1">
      <c r="B44" s="35" t="s">
        <v>29</v>
      </c>
      <c r="C44" s="49" t="s">
        <v>6</v>
      </c>
      <c r="D44" s="2" t="s">
        <v>35</v>
      </c>
      <c r="F44" s="24">
        <v>6</v>
      </c>
      <c r="G44" s="17" t="str">
        <f>IF(OR(D39=0,D43="　",1*MID(D46,1,2)=1,1*MID(D46,1,2)&gt;=5),"","くさび")</f>
        <v>くさび</v>
      </c>
      <c r="H44" s="29" t="str">
        <f>IF(OR(D39=0,D43="　",1*MID(D46,1,2)=1,1*MID(D46,1,2)&gt;=5),"",IF(1*MID(D43,4,1)=5,"ECF12.7","ECF15.2")&amp;"、SCM415相当")&amp;IF(OR(D39=0,D43="　",MID(D44,1,3)="ｱﾙﾐ",1*MID(D46,1,2)=1,1*MID(D46,1,2)&gt;=5),"","、無電解Niめっき")</f>
        <v>ECF12.7、SCM415相当、無電解Niめっき</v>
      </c>
      <c r="I44" s="52" t="str">
        <f>IF(OR(D39=0,D43="　",1*MID(D46,1,2)=1,1*MID(D46,1,2)&gt;=5),"","n=1")</f>
        <v>n=1</v>
      </c>
      <c r="J44" s="16" t="str">
        <f>IF(OR(D39=0,D43="　",1*MID(D46,1,2)=1,1*MID(D46,1,2)&gt;=5),"","式")</f>
        <v>式</v>
      </c>
      <c r="K44" s="32">
        <f>IF(OR(D39=0,D43="　",1*MID(D46,1,2)=1,1*MID(D46,1,2)&gt;=5),"",1)</f>
        <v>1</v>
      </c>
      <c r="L44" s="68">
        <f>IFERROR(D42*K44,"")</f>
        <v>1</v>
      </c>
      <c r="O44" s="18"/>
    </row>
    <row r="45" spans="2:19" ht="11.1" customHeight="1">
      <c r="B45" s="35" t="s">
        <v>8</v>
      </c>
      <c r="C45" s="49" t="s">
        <v>6</v>
      </c>
      <c r="D45" s="2" t="s">
        <v>36</v>
      </c>
      <c r="F45" s="24">
        <v>7</v>
      </c>
      <c r="G45" s="17" t="str">
        <f>IF(OR(D39=0,D43="　",1*MID(D46,1,2)=1,1*MID(D46,1,2)&gt;=5),"","押え板")</f>
        <v>押え板</v>
      </c>
      <c r="H45" s="29" t="str" cm="1">
        <f t="array" ref="H45">IF(OR(D39=0,D43="　",1*MID(D46,1,2)=1,1*MID(D46,1,2)&gt;=5),"",IF(MID(D43,4,1)="5","G5"&amp;_xlfn.SWITCH(1*MID(D43,6,FIND("H",D43,6)-6),1,"01",2,"04",3,"03",4,"04",5,"07",6,"07",7,"07",8,"12",9,"12",10,"12",11,"12",12,"12"),"G6"&amp;_xlfn.SWITCH(1*MID(D43,6,FIND("H",D43,6)-6),1,"01",2,"02",3,"03",4,"04",5,"07",6,"07",7,"07",8,"12",9,"12",10,"12",11,"12",12,"12",13,"14",14,"14",15,"19",16,"19",17,"19",18,"19",19,"19"))&amp;"、SS400相当")&amp;IF(OR(D39=0,D43="　",1*MID(D46,1,2)=1,1*MID(D46,1,2)&gt;=5),"","、"&amp;_xlfn.IFS(MID(D41,1,3)="防食Ⅱ","HDZT77めっき",MID(D41,5,2)="塩害","ｱﾙﾐﾅｲｽﾞ処理",MID(D41,5,2)="酸性","重防食処理"))</f>
        <v>G504、SS400相当、HDZT77めっき</v>
      </c>
      <c r="I45" s="52" t="str">
        <f>IF(OR(D39=0,D43="　",1*MID(D46,1,2)=1,1*MID(D46,1,2)&gt;=5),"","n=1")</f>
        <v>n=1</v>
      </c>
      <c r="J45" s="16" t="str">
        <f>IF(OR(D39=0,D43="　",1*MID(D46,1,2)=1,1*MID(D46,1,2)&gt;=5),"","枚")</f>
        <v>枚</v>
      </c>
      <c r="K45" s="32">
        <f>IF(OR(D39=0,D43="　",1*MID(D46,1,2)=1,1*MID(D46,1,2)&gt;=5),"",1)</f>
        <v>1</v>
      </c>
      <c r="L45" s="68">
        <f>IFERROR(D42*K45,"")</f>
        <v>1</v>
      </c>
    </row>
    <row r="46" spans="2:19" ht="11.1" customHeight="1">
      <c r="B46" s="36" t="s">
        <v>87</v>
      </c>
      <c r="C46" s="72" t="s">
        <v>6</v>
      </c>
      <c r="D46" s="8" t="s">
        <v>42</v>
      </c>
      <c r="F46" s="24">
        <v>8</v>
      </c>
      <c r="G46" s="17" t="str">
        <f>IF(OR(D39=0,D43="　"),"",IF(OR(1*MID(D46,1,2)=1,1*MID(D46,1,2)&gt;=5,MID(D45,1,3)&lt;&gt;"のり面"),"","管付")&amp;"支圧板")</f>
        <v>管付支圧板</v>
      </c>
      <c r="H46" s="29" t="str" cm="1">
        <f t="array" ref="H46">IF(OR(D39=0,D43="　"),"","PL"&amp;IF(OR(1*MID(D46,1,2)=1,1*MID(D46,1,2)&gt;=5,MID(D45,1,3)&lt;&gt;"のり面"),"","P")&amp;IF(MID(D43,4,1)="5","5-"&amp;_xlfn.SWITCH(1*MID(D43,6,FIND("H",D43,6)-6),1,"1",2,"2",3,"3",4,"4",5,"5",6,"6",7,"7",8,"9",9,"9",10,"10",11,"11",12,"12"),"6-"&amp;_xlfn.SWITCH(1*MID(D43,6,FIND("H",D43,6)-6),1,"1",2,"2",3,"3",4,"4",5,"6",6,"6",7,"7",8,"8",9,"9",10,"10",11,"11",12,"12",13,"14",14,"14",15,"16",16,"16",17,"17",18,"18",19,"19"))&amp;"、SS400相当")&amp;IF(OR(D39=0,D43="　"),"","、"&amp;_xlfn.IFS(MID(D41,1,3)="防食Ⅱ","HDZT77めっき",MID(D41,5,2)="塩害","ｱﾙﾐﾅｲｽﾞ処理",MID(D41,5,2)="酸性","重防食処理"))</f>
        <v>PLP5-2、SS400相当、HDZT77めっき</v>
      </c>
      <c r="I46" s="52" t="str">
        <f>IF(OR(D39=0,D43="　"),"","n=1")</f>
        <v>n=1</v>
      </c>
      <c r="J46" s="16" t="str">
        <f>IF(OR(D39=0,D43="　"),"","枚")</f>
        <v>枚</v>
      </c>
      <c r="K46" s="32">
        <f>IF(OR(D39=0,D43="　"),"",1)</f>
        <v>1</v>
      </c>
      <c r="L46" s="68">
        <f>IFERROR(D42*K46,"")</f>
        <v>1</v>
      </c>
    </row>
    <row r="47" spans="2:19" ht="11.1" customHeight="1">
      <c r="B47" s="37" t="str" cm="1">
        <f t="array" ref="B47">"頭部自由長"&amp;_xlfn.IFS(MID(D45,1,2)="なし","",MID(D45,1,3)="受圧体","(受圧体)",MID(D45,1,3)="のり面","(角度台座＋受圧体)",MID(D45,1,3)="構造物","(壁面台座)",MID(D45,1,3)="土留め","(台座+腹起し)",MID(D45,1,3)="個別台","(個別台座+腹起し)")&amp;"　Lfh"</f>
        <v>頭部自由長(角度台座＋受圧体)　Lfh</v>
      </c>
      <c r="C47" s="9" t="s">
        <v>10</v>
      </c>
      <c r="D47" s="75">
        <v>0.6</v>
      </c>
      <c r="F47" s="24">
        <v>9</v>
      </c>
      <c r="G47" s="17" t="str">
        <f>IF(OR(D39=0,D43="　",1*MID(D46,1,2)=1,1*MID(D46,1,2)&gt;=5),"","止水ゴム")</f>
        <v>止水ゴム</v>
      </c>
      <c r="H47" s="29" t="str">
        <f>IF(OR(D39=0,D43="　",1*MID(D46,1,2)=1,1*MID(D46,1,2)&gt;=5),"","G"&amp;MID(D43,4,4)&amp;"、NBR45相当")</f>
        <v>G5-2H、NBR45相当</v>
      </c>
      <c r="I47" s="52" t="str">
        <f>IF(OR(D39=0,D43="　",1*MID(D46,1,2)=1,1*MID(D46,1,2)&gt;=5),"","n=1")</f>
        <v>n=1</v>
      </c>
      <c r="J47" s="16" t="str">
        <f>IF(OR(D39=0,D43="　",1*MID(D46,1,2)=1,1*MID(D46,1,2)&gt;=5),"","個")</f>
        <v>個</v>
      </c>
      <c r="K47" s="32">
        <f>IF(OR(D39=0,D43="　",1*MID(D46,1,2)=1,1*MID(D46,1,2)&gt;=5),"",1)</f>
        <v>1</v>
      </c>
      <c r="L47" s="68">
        <f>IFERROR(D42*K47,"")</f>
        <v>1</v>
      </c>
    </row>
    <row r="48" spans="2:19" ht="11.1" customHeight="1">
      <c r="B48" s="31" t="s">
        <v>11</v>
      </c>
      <c r="C48" s="10" t="s">
        <v>10</v>
      </c>
      <c r="D48" s="75">
        <v>5.9</v>
      </c>
      <c r="F48" s="24">
        <v>10</v>
      </c>
      <c r="G48" s="17" t="str" cm="1">
        <f t="array" ref="G48">IF(OR(D39=0,D43="　",1*MID(D46,1,2)=1,1*MID(D46,1,2)&gt;=5),"",_xlfn.IFS(MID(D44,1,3)="ｱﾙﾐ","頭部防錆油",MID(D44,1,3)&lt;&gt;"ｱﾙﾐ","余長キャップ"))</f>
        <v>余長キャップ</v>
      </c>
      <c r="H48" s="29" t="str" cm="1">
        <f t="array" ref="H48">_xlfn.IFS(OR(D39=0,D43="　",1*MID(D46,1,2)=1,1*MID(D46,1,2)&gt;=5),"",MID(D44,1,3)="ｱﾙﾐ","PCコートC",MID(D44,1,3)&lt;&gt;"ｱﾙﾐ","TC"&amp;MID(D43,4,1)&amp;"、高密度ポリエチレン")</f>
        <v>TC5、高密度ポリエチレン</v>
      </c>
      <c r="I48" s="52" t="str" cm="1">
        <f t="array" ref="I48">_xlfn.IFS(OR(D39=0,D43="　",1*MID(D46,1,2)=1,1*MID(D46,1,2)&gt;=5),"",MID(D44,1,3)="ｱﾙﾐ","W="&amp;IF(MID(D43,4,1)="5",_xlfn.SWITCH(1*MID(LEFT(D43, LEN(D43)-1),6,2),1,1.9,2,1.3,3,1.3,4,1.3,5,1.6,6,1.6,7,1.6,8,3.1,9,3.1,10,3.1,11,3.1,12,3.1),"G6"&amp;_xlfn.SWITCH(1*MID(LEFT(D43, LEN(D43)-1),6,2),1,1.8,2,1.3,3,1.8,4,1.8,5,3.3,6,3.3,7,3.3,8,9.9,9,9.9,10,9.9,11,9.9,12,9.9,13,9.9,14,9.9)),MID(D44,1,3)&lt;&gt;"ｱﾙﾐ","n=1")</f>
        <v>n=1</v>
      </c>
      <c r="J48" s="16" t="str" cm="1">
        <f t="array" ref="J48">_xlfn.IFS(OR(D39=0,D43="　",1*MID(D46,1,2)=1,1*MID(D46,1,2)&gt;=5),"",MID(D44,1,3)="ｱﾙﾐ","kg",MID(D44,1,3)&lt;&gt;"ｱﾙﾐ","式")</f>
        <v>式</v>
      </c>
      <c r="K48" s="80" cm="1">
        <f t="array" ref="K48">_xlfn.IFS(OR(D39=0,D43="　",1*MID(D46,1,2)=1,1*MID(D46,1,2)&gt;=5),"",MID(D44,1,3)="ｱﾙﾐ",_xlfn.SWITCH(MID(D43,4,1),"5",_xlfn.SWITCH(1*MID(D43,6,FIND("H",D43,6)-6),1,1.9,2,1.3,3,1.3,4,1.3,5,1.6,6,1.6,7,1.6,8,3.1,9,3.1,10,3.1,11,3.1,12,3.1),"6",_xlfn.SWITCH(1*MID(D43,6,FIND("H",D43,6)-6),1,1.8,2,1.3,3,1.8,4,1.8,5,3.3,6,3.3,7,3.3,8,9.9,9,9.9,10,9.9,11,9.9,12,9.9,13,9.9,14,9.9)),MID(D44,1,3)&lt;&gt;"ｱﾙﾐ",1)</f>
        <v>1</v>
      </c>
      <c r="L48" s="68">
        <f>IFERROR(D42*K48,"")</f>
        <v>1</v>
      </c>
    </row>
    <row r="49" spans="2:12" ht="11.1" customHeight="1">
      <c r="B49" s="39" t="s">
        <v>18</v>
      </c>
      <c r="C49" s="40" t="s">
        <v>10</v>
      </c>
      <c r="D49" s="75">
        <v>3</v>
      </c>
      <c r="F49" s="24">
        <v>11</v>
      </c>
      <c r="G49" s="17" t="str">
        <f>IF(OR(D39=0,D43="　",1*MID(D46,1,2)=1,1*MID(D46,1,2)&gt;=5),"","配列スペーサ")</f>
        <v>配列スペーサ</v>
      </c>
      <c r="H49" s="29" t="str">
        <f>IF(OR(D39=0,D43="　",1*MID(D46,1,2)=1,1*MID(D46,1,2)&gt;=5),"",IF(MID(D43,4,1)="5","PS5-"&amp;_xlfn.SWITCH(1*MID(D43,6,FIND("H",D43,6)-6),1,"7",2,"2",3,"3",4,"4",5,"7",6,"7",7,"7",8,"12",9,"12",10,"12",11,"12",12,"12"),"PS6-"&amp;_xlfn.SWITCH(1*MID(D43,6,FIND("H",D43,6)-6),1,"7",2,"2",3,"3",4,"4",5,"7",6,"7",7,"7",8,"12",9,"12",10,"12",11,"12",12,"12",13,"14",14,"14",15,"19",16,"19",17,"19",18,"19",19,"19"))&amp;"、ポリエチレン")</f>
        <v>PS5-2、ポリエチレン</v>
      </c>
      <c r="I49" s="52" t="str">
        <f>IF(OR(D39=0,D43="　",1*MID(D46,1,2)=1,1*MID(D46,1,2)&gt;=5),"","n=2")</f>
        <v>n=2</v>
      </c>
      <c r="J49" s="16" t="str">
        <f>IF(OR(D39=0,D43="　",1*MID(D46,1,2)=1,1*MID(D46,1,2)&gt;=5),"","個")</f>
        <v>個</v>
      </c>
      <c r="K49" s="32">
        <f>IF(OR(D39=0,D43="　",1*MID(D46,1,2)=1,1*MID(D46,1,2)&gt;=5),"",2)</f>
        <v>2</v>
      </c>
      <c r="L49" s="68">
        <f>IFERROR(D42*K49,"")</f>
        <v>2</v>
      </c>
    </row>
    <row r="50" spans="2:12" ht="11.1" customHeight="1">
      <c r="B50" s="36" t="s">
        <v>17</v>
      </c>
      <c r="C50" s="11" t="s">
        <v>16</v>
      </c>
      <c r="D50" s="54">
        <v>90</v>
      </c>
      <c r="F50" s="24">
        <v>12</v>
      </c>
      <c r="G50" s="17" t="str">
        <f>IF(OR(D39=0,D43="　"),"","スペーサ")</f>
        <v>スペーサ</v>
      </c>
      <c r="H50" s="29" t="str" cm="1">
        <f t="array" ref="H50">IF(OR(D39=0,D43="　"),"",IF(MID(D43,4,1)="5","S5-"&amp;_xlfn.IFS(1*MID(D43,6,FIND("H",D43,6)-6)&lt;6,"5",1*MID(D43,6,FIND("H",D43,6)-6)&lt;9,"8",1*MID(D43,6,FIND("H",D43,6)-6)&gt;8,"12"),"S6-"&amp;_xlfn.IFS(1*MID(D43,6,FIND("H",D43,6)-6)&lt;4,"3",1*MID(D43,6,FIND("H",D43,6)-6)&lt;7,"6",1*MID(D43,6,FIND("H",D43,6)-6)&lt;10,"9",1*MID(D43,6,FIND("H",D43,6)-6)&lt;13,"12",1*MID(D43,6,FIND("H",D43,6)-6)&lt;15,"14",1*MID(D43,6,FIND("H",D43,6)-6)&lt;20,"19"))&amp;"、ポリプロピレン")</f>
        <v>S5-5、ポリプロピレン</v>
      </c>
      <c r="I50" s="58" t="str">
        <f>IF(OR(D39=0,D43="　"),"","n=mround(アンカー体長－0.4)÷@1.0m, 1.0)")</f>
        <v>n=mround(アンカー体長－0.4)÷@1.0m, 1.0)</v>
      </c>
      <c r="J50" s="16" t="str">
        <f>IF(OR(D39=0,D43="　"),"","個")</f>
        <v>個</v>
      </c>
      <c r="K50" s="38">
        <f>IF(OR(D39=0,D43="　"),"",MROUND((D49-0.4)/1,1))</f>
        <v>3</v>
      </c>
      <c r="L50" s="67">
        <f>IFERROR(D42*K50,"")</f>
        <v>3</v>
      </c>
    </row>
    <row r="51" spans="2:12" ht="11.1" customHeight="1">
      <c r="B51" s="41" t="s">
        <v>37</v>
      </c>
      <c r="C51" s="5" t="s">
        <v>16</v>
      </c>
      <c r="D51" s="66" cm="1">
        <f t="array" ref="D51">IF(OR(D39=0,D43="　"),"",_xlfn.SWITCH(1*MID(D46,1,2),0,_xlfn.SWITCH(1*MID(D43,4,1),5,_xlfn.SWITCH(1*MID(LEFT(D43, LEN(D43)-1),6,2),1,90,2,90,3,90,4,90,5,90,6,115,7,115,8,115,9,135,10,135,11,135,12,135),6,_xlfn.SWITCH(1*MID(LEFT(D43, LEN(D43)-1),6,2),1,90,2,90,3,90,4,115,5,115,6,115,7,135,8,135,9,135,10,146,11,146,12,146,13,165,14,165)),1,_xlfn.SWITCH(1*MID(D43,4,1),5,_xlfn.SWITCH(1*MID(LEFT(D43, LEN(D43)-1),6,2),1,90,2,90,3,90,4,90,5,115,6,115,7,135,8,135,9,135,10,135,11,165,12,165),6,_xlfn.SWITCH(1*MID(LEFT(D43, LEN(D43)-1),6,2),1,90,2,90,3,115,4,115,5,135,6,135,7,135,8,135,9,135,10,165,11,165,12,165,13,165,14,165)),2,_xlfn.SWITCH(1*MID(D43,4,1),5,_xlfn.SWITCH(1*MID(LEFT(D43, LEN(D43)-1),6,2),1,90,2,90,3,115,4,115,5,115,6,115,7,135,8,135,9,146,10,146,11,146,12,146),6,_xlfn.SWITCH(1*MID(LEFT(D43, LEN(D43)-1),6,2),1,90,2,90,3,115,4,115,5,135,6,135,7,146,8,146,9,146,10,165,11,165,12,165,13,216,14,216)),3,_xlfn.SWITCH(1*MID(D43,4,1),5,_xlfn.SWITCH(1*MID(LEFT(D43, LEN(D43)-1),6,2),1,115,2,115,3,115,4,115,5,115,6,135,7,135,8,135,9,146,10,146,11,146,12,146),6,_xlfn.SWITCH(1*MID(LEFT(D43, LEN(D43)-1),6,2),1,115,2,115,3,115,4,135,5,135,6,135,7,146,8,146,9,146,10,165,11,165,12,165,13,216,14,216)),4,_xlfn.SWITCH(1*MID(D43,4,1),5,_xlfn.SWITCH(1*MID(LEFT(D43, LEN(D43)-1),6,2),1,115,2,115,3,115,4,115,5,115,6,135,7,135,8,135,9,146,10,146,11,146,12,146),6,_xlfn.SWITCH(1*MID(LEFT(D43, LEN(D43)-1),6,2),1,115,2,115,3,115,4,135,5,135,6,135,7,146,8,146,9,146,10,165,11,165,12,165,13,216,14,216)),5,_xlfn.SWITCH(1*MID(D43,4,1),5,_xlfn.SWITCH(1*MID(LEFT(D43, LEN(D43)-1),6,2),1,90,2,90,3,115,4,115,5,115,6,115,7,135,8,135,9,165,10,165,11,165,12,165),6,_xlfn.SWITCH(1*MID(LEFT(D43, LEN(D43)-1),6,2),1,90,2,90,3,115,4,115,5,135,6,135,7,165,8,165,9,165,10,165,11,165,12,165,13,216,14,216)),6,_xlfn.SWITCH(1*MID(D43,4,1),5,_xlfn.SWITCH(1*MID(LEFT(D43, LEN(D43)-1),6,2),1,115,2,115,3,115,4,115,5,115,6,135,7,135,8,135,9,165,10,165,11,165,12,165),6,_xlfn.SWITCH(1*MID(LEFT(D43, LEN(D43)-1),6,2),1,115,2,115,3,115,4,135,5,135,6,135,7,165,8,165,9,165,10,165,11,165,12,165,13,216,14,216)),7,_xlfn.SWITCH(1*MID(D43,4,1),5,_xlfn.SWITCH(1*MID(LEFT(D43, LEN(D43)-1),6,2),1,115,2,115,3,115,4,115,5,115,6,135,7,135,8,135,9,165,10,165,11,165,12,165),6,_xlfn.SWITCH(1*MID(LEFT(D43, LEN(D43)-1),6,2),1,115,2,115,3,115,4,135,5,135,6,135,7,165,8,165,9,165,10,165,11,165,12,165,13,216,14,216))))</f>
        <v>90</v>
      </c>
      <c r="F51" s="24">
        <v>13</v>
      </c>
      <c r="G51" s="17" t="str">
        <f>IF(OR(D39=0,D43="　"),"","ﾊﾟｲﾛｯﾄｷｬｯﾌﾟ")</f>
        <v>ﾊﾟｲﾛｯﾄｷｬｯﾌﾟ</v>
      </c>
      <c r="H51" s="29" t="str" cm="1">
        <f t="array" ref="H51">IF(OR(D39=0,D43="　"),"",IF(MID(D43,4,1)="5","PC5-"&amp;_xlfn.IFS(1*MID(D43,6,FIND("H",D43,6)-6)&lt;5,"4",1*MID(D43,6,FIND("H",D43,6)-6)&lt;8,"7",1*MID(D43,6,FIND("H",D43,6)-6)&lt;10,"9",1*MID(D43,6,FIND("H",D43,6)-6)&gt;9,"12"),"PC6-"&amp;_xlfn.IFS(1*MID(D43,6,FIND("H",D43,6)-6)&lt;4,"3",1*MID(D43,6,FIND("H",D43,6)-6)&lt;8,"7",1*MID(D43,6,FIND("H",D43,6)-6)&lt;13,"12",1*MID(D43,6,FIND("H",D43,6)-6)&lt;15,"14",1*MID(D43,6,FIND("H",D43,6)-6)&lt;20,"19"))&amp;"、ポリプロピレン")</f>
        <v>PC5-4、ポリプロピレン</v>
      </c>
      <c r="I51" s="52" t="str">
        <f>IF(OR(D39=0,D43="　"),"","n=1")</f>
        <v>n=1</v>
      </c>
      <c r="J51" s="16" t="str">
        <f>IF(OR(D39=0,D43="　"),"","個")</f>
        <v>個</v>
      </c>
      <c r="K51" s="32">
        <f>IF(OR(D39=0,D43="　"),"",1)</f>
        <v>1</v>
      </c>
      <c r="L51" s="68">
        <f>IFERROR(D42*K51,"")</f>
        <v>1</v>
      </c>
    </row>
    <row r="52" spans="2:12" ht="11.1" customHeight="1">
      <c r="B52" s="43" t="s">
        <v>30</v>
      </c>
      <c r="C52" s="44" t="s">
        <v>31</v>
      </c>
      <c r="D52" s="59" t="str">
        <f>IF(OR(D39=0,D43="　"),"",IF(D50=D51,"OK","CHECK"))</f>
        <v>OK</v>
      </c>
      <c r="F52" s="24">
        <v>14</v>
      </c>
      <c r="G52" s="17" t="str">
        <f>IF(OR(D39=0,D43="　"),"","結束バンド")</f>
        <v>結束バンド</v>
      </c>
      <c r="H52" s="29" t="str">
        <f>IF(OR(D39=0,D43="　"),"","66ナイロン")</f>
        <v>66ナイロン</v>
      </c>
      <c r="I52" s="58" t="str">
        <f>IF(OR(D39=0,D43="　"),"","n=スペーサ数×2")</f>
        <v>n=スペーサ数×2</v>
      </c>
      <c r="J52" s="16" t="str">
        <f>IF(OR(D39=0,D43="　"),"","本")</f>
        <v>本</v>
      </c>
      <c r="K52" s="38">
        <f>IF(OR(D39=0,D43="　"),"",2*K50)</f>
        <v>6</v>
      </c>
      <c r="L52" s="67">
        <f>IFERROR(D42*K52,"")</f>
        <v>6</v>
      </c>
    </row>
    <row r="53" spans="2:12" ht="11.1" customHeight="1">
      <c r="B53" s="45" t="s">
        <v>12</v>
      </c>
      <c r="C53" s="9" t="s">
        <v>10</v>
      </c>
      <c r="D53" s="60">
        <f>IF(OR(D39=0,D43="　"),"──",SUM(D47:D48))</f>
        <v>6.5</v>
      </c>
      <c r="F53" s="24">
        <v>15</v>
      </c>
      <c r="G53" s="17" t="str">
        <f>IF(OR(D39=0,D43="　"),"","結束テープ")</f>
        <v>結束テープ</v>
      </c>
      <c r="H53" s="29" t="str">
        <f>IF(OR(D39=0,D43="　"),"","フィラメントテープ")</f>
        <v>フィラメントテープ</v>
      </c>
      <c r="I53" s="58" t="str">
        <f>IF(OR(D39=0,D43="　"),"","L=(自由長+緊張部長)÷@1.0m×テープ係数"&amp;IF(MID(D43,4,1)="5",_xlfn.IFS(1*MID(LEFT(D43, LEN(D43)-1),6,2)&lt;4,"0.8",1*MID(LEFT(D43, LEN(D43)-1),6,2)&lt;7,"1.0",1*MID(LEFT(D43, LEN(D43)-1),6,2)&lt;10,"1.2",1*MID(LEFT(D43, LEN(D43)-1),6,2)&lt;13,"1.4"),_xlfn.IFS(1*MID(LEFT(D43, LEN(D43)-1),6,2)&lt;4,"1.0",1*MID(LEFT(D43, LEN(D43)-1),6,2)&lt;7,"1.2",1*MID(LEFT(D43, LEN(D43)-1),6,2)&lt;10,"1.4",1*MID(LEFT(D43, LEN(D43)-1),6,2)&lt;15,"1.8")))</f>
        <v>L=(自由長+緊張部長)÷@1.0m×テープ係数0.8</v>
      </c>
      <c r="J53" s="16" t="str">
        <f>IF(OR(D39=0,D43="　"),"","m")</f>
        <v>m</v>
      </c>
      <c r="K53" s="42" cm="1">
        <f t="array" ref="K53">IF(OR(D39=0,D43="　"),"",MROUND((SUM(D53,D54))/1*IF(MID(D43,4,1)="5",_xlfn.SWITCH(1*MID(D43,6,FIND("H",D43,6)-6),1,0.8,2,0.8,3,0.8,4,1,5,1,6,1,7,1.2,8,1.2,9,1.2,10,1.4,11,1.4,12,1.4),_xlfn.SWITCH(1*MID(D43,6,FIND("H",D43,6)-6),1,1,2,1,3,1,4,1.2,5,1.2,6,1.2,7,1.4,8,1.4,9,1.4,10,1.8,11,1.8,12,1.8,13,1.8,14,1.8,15,2.5,16,2.5,17,2.5,18,2.5,19,2.5)),0.1))</f>
        <v>6</v>
      </c>
      <c r="L53" s="69">
        <f>IFERROR(D42*K53,"")</f>
        <v>6</v>
      </c>
    </row>
    <row r="54" spans="2:12" ht="11.1" customHeight="1">
      <c r="B54" s="47" t="s">
        <v>13</v>
      </c>
      <c r="C54" s="10" t="s">
        <v>10</v>
      </c>
      <c r="D54" s="61" cm="1">
        <f t="array" ref="D54">IF(OR(D39=0,D43="　"),"──",IF(MID(D43,4,1)="5",_xlfn.IFS(1*MID(LEFT(D43,LEN(D43)-1),6,2)&lt;8,1,1*MID(LEFT(D43,LEN(D43)-1),6,2)&lt;13,1.2),_xlfn.IFS(1*MID(LEFT(D43,LEN(D43)-1),6,2)&lt;6,1,1*MID(LEFT(D43,LEN(D43)-1),6,2)&lt;15,1.2)))</f>
        <v>1</v>
      </c>
      <c r="F54" s="24">
        <v>16</v>
      </c>
      <c r="G54" s="17" t="str">
        <f>IF(OR(D39=0,D43="　",1*MID(D46,1,2)=1,1*MID(D46,1,2)=5),"","注入ホース")</f>
        <v>注入ホース</v>
      </c>
      <c r="H54" s="29" t="str">
        <f>IF(OR(D39=0,D43="　",1*MID(D46,1,2)=1,1*MID(D46,1,2)=5),"","φ16/20、高密度ポリエチレン")</f>
        <v>φ16/20、高密度ポリエチレン</v>
      </c>
      <c r="I54" s="46" t="str">
        <f>IF(OR(D39=0,D43="　",1*MID(D46,1,2)=1,1*MID(D46,1,2)=5),"","L=テンドン長")</f>
        <v>L=テンドン長</v>
      </c>
      <c r="J54" s="16" t="str">
        <f>IF(OR(D39=0,D43="　",1*MID(D46,1,2)=1,1*MID(D46,1,2)=5),"","m")</f>
        <v>m</v>
      </c>
      <c r="K54" s="30">
        <f>IF(OR(D39=0,D43="　",1*MID(D46,1,2)=1,1*MID(D46,1,2)=5),"",MROUND(D56,0.1))</f>
        <v>10.700000000000001</v>
      </c>
      <c r="L54" s="67">
        <f>IFERROR(D42*K54,"")</f>
        <v>10.700000000000001</v>
      </c>
    </row>
    <row r="55" spans="2:12" ht="11.1" customHeight="1">
      <c r="B55" s="48" t="s">
        <v>19</v>
      </c>
      <c r="C55" s="10" t="s">
        <v>14</v>
      </c>
      <c r="D55" s="62">
        <f>IF(OR(D39=0,D43="　"),"──",0.2)</f>
        <v>0.2</v>
      </c>
      <c r="F55" s="24">
        <v>17</v>
      </c>
      <c r="G55" s="17" t="str" cm="1">
        <f t="array" ref="G55">_xlfn.IFS(OR(D39=0,D43="　",MID(D45,1,2)="なし",MID(D45,1,3)="受圧体",1*MID(D46,1,2)=1,1*MID(D46,1,2)&gt;=5),"",MID(D45,1,3)="のり面","のり面角度台座",MID(D45,1,3)="構造物","構造物壁面台座",MID(D45,1,3)="土留め","土留め台座",MID(D45,1,3)="個別台","個別台座")</f>
        <v>のり面角度台座</v>
      </c>
      <c r="H55" s="46" t="str" cm="1">
        <f t="array" ref="H55">IF(OR(D39=0,D43="　",G55=""),"",_xlfn.IFS(MID(D45,1,3)="のり面",IF(1*MID(D43,4,1)=5,_xlfn.IFS(1*MID(D43,6,FIND("H",D43,6)-6)&lt;5,"ST140",1*MID(D43,6,FIND("H",D43,6)-6)&lt;8,"ST170",1*MID(D43,6,FIND("H",D43,6)-6)&lt;13,"ST220"),_xlfn.IFS(1*MID(D43,6,FIND("H",D43,6)-6)&lt;4,"ST140",1*MID(D43,6,FIND("H",D43,6)-6)&lt;5,"ST170",1*MID(D43,6,FIND("H",D43,6)-6)&lt;8,"ST220",1*MID(D43,6,FIND("H",D43,6)-6)&lt;20,"非該当"))&amp;"、FCD450相当",OR(MID(D45,1,3)="構造物",MID(D45,1,3)="土留め",MID(D45,1,3)="個別台"),D43&amp;"用"&amp;_xlfn.IFS(MID(D45,1,3)="構造物","",MID(D45,1,3)="土留め",IF(1*MID(D43,4,1)=5,_xlfn.SWITCH(1*MID(D43,6,FIND("H",D43,6)-6),1,"DA110",2,"DA220",3,"DA330",4,"DA440",5,"DA550",6,"DA660",7,"DA770",8,"DA880",9,"DA990",10,"DA1100",11,"DA1210",12,"DA1320"),_xlfn.SWITCH(1*MID(D43,6,FIND("H",D43,6)-6),1,"DA220",2,"DA330",3,"DA550",4,"DA660",5,"DA880",6,"DA990",7,"DA1100",8,"DA1320",9,"DA1410",10,"DA1570",11,"DA1730",12,"DA1880",13,"DA2040",14,"DA2200")),MID(D45,1,3)="個別台",D58)))&amp;IF(OR(D39=0,D43="　",G55=""),"","、"&amp;_xlfn.IFS(MID(D41,1,3)="防食Ⅱ","HDZT77めっき",MID(D41,5,2)="塩害","ｱﾙﾐﾅｲｽﾞ処理",MID(D41,5,2)="酸性","重防食処理"))</f>
        <v>ST140、FCD450相当、HDZT77めっき</v>
      </c>
      <c r="I55" s="52" t="str">
        <f>IF(OR(D39=0,D43="　",G55=""),"","n=1")</f>
        <v>n=1</v>
      </c>
      <c r="J55" s="16" t="str">
        <f>IF(OR(D39=0,D43="　",G55=""),"","台")</f>
        <v>台</v>
      </c>
      <c r="K55" s="32">
        <f>IF(OR(D39=0,D43="　",G55=""),"",1)</f>
        <v>1</v>
      </c>
      <c r="L55" s="68">
        <f>IFERROR(D42*K55,"")</f>
        <v>1</v>
      </c>
    </row>
    <row r="56" spans="2:12" ht="11.1" customHeight="1">
      <c r="B56" s="50" t="s">
        <v>20</v>
      </c>
      <c r="C56" s="10" t="s">
        <v>10</v>
      </c>
      <c r="D56" s="63">
        <f>IF(OR(D39=0,D43="　"),"──",SUM(D49,D53:D55))</f>
        <v>10.7</v>
      </c>
      <c r="F56" s="24">
        <v>18</v>
      </c>
      <c r="G56" s="17" t="str">
        <f>IF(OR(D39=0,D43="　",MID(D45,1,3)&lt;&gt;"のり面",1*MID(D46,1,2)=1,1*MID(D46,1,2)&gt;=5),"","補剛板")</f>
        <v>補剛板</v>
      </c>
      <c r="H56" s="46" t="str" cm="1">
        <f t="array" ref="H56">IF(OR(D39=0,D43="　",G56=""),"",IF(MID(D43,4,1)="5","□"&amp;_xlfn.SWITCH(1*MID(D43,6,FIND("H",D43,6)-6),1,"210φ131t12",2,"210φ131t12",3,"240φ131t12",4,"270φ131t12",5,"280φ143t12",6,"310φ143t16",7,"350φ143t19",8,"350φ180t19",9,"350φ180t19",10,"350φ180t19",11,"350φ180t22",12,"350φ180t22"),"□"&amp;_xlfn.SWITCH(1*MID(D43,6,FIND("H",D43,6)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39=0,D43="　",G56=""),"","、"&amp;_xlfn.IFS(MID(D41,1,3)="防食Ⅱ","HDZT77めっき",MID(D41,5,2)="塩害","ｱﾙﾐﾅｲｽﾞ処理",MID(D41,5,2)="酸性","重防食処理"))</f>
        <v>□210φ131t12、SS400相当、HDZT77めっき</v>
      </c>
      <c r="I56" s="52" t="str">
        <f>IF(OR(D39=0,D43="　",G56=""),"","n=1")</f>
        <v>n=1</v>
      </c>
      <c r="J56" s="16" t="str">
        <f>IF(OR(D39=0,D43="　",G56=""),"","枚")</f>
        <v>枚</v>
      </c>
      <c r="K56" s="32">
        <f>IF(OR(D39=0,D43="　",G56=""),"",1)</f>
        <v>1</v>
      </c>
      <c r="L56" s="68">
        <f>IFERROR(D42*K56,"")</f>
        <v>1</v>
      </c>
    </row>
    <row r="57" spans="2:12" ht="11.1" customHeight="1">
      <c r="B57" s="51" t="s">
        <v>15</v>
      </c>
      <c r="C57" s="12" t="s">
        <v>10</v>
      </c>
      <c r="D57" s="64">
        <f>IF(OR(D39=0,D43="　"),"──",0.25)</f>
        <v>0.25</v>
      </c>
      <c r="F57" s="24">
        <v>19</v>
      </c>
      <c r="G57" s="17" t="str" cm="1">
        <f t="array" ref="G57">_xlfn.IFS(OR(D39=0,D43="　",MID(D44,1,3)="ｱﾙﾐ",1*MID(D46,1,2)=1,1*MID(D46,1,2)&gt;=5),"",MID(D44,1,3)&lt;&gt;"ｱﾙﾐ","テンドン補修用塗料")</f>
        <v>テンドン補修用塗料</v>
      </c>
      <c r="H57" s="38" t="str" cm="1">
        <f t="array" ref="H57">_xlfn.IFS(OR(D39=0,D43="　",MID(D44,1,3)="ｱﾙﾐ",1*MID(D46,1,2)=1,1*MID(D46,1,2)&gt;=5),"",MID(D44,1,3)&lt;&gt;"ｱﾙﾐ","エポキシ樹脂")</f>
        <v>エポキシ樹脂</v>
      </c>
      <c r="I57" s="52" t="str" cm="1">
        <f t="array" ref="I57">_xlfn.IFS(OR(D39=0,D43="　",MID(D44,1,3)="ｱﾙﾐ",1*MID(D46,1,2)=1,1*MID(D46,1,2)&gt;=5),"",MID(D44,1,3)&lt;&gt;"ｱﾙﾐ","W=PC鋼より線本数×"&amp;IF(MID(D43,4,1)="5","0.28","0.4"))</f>
        <v>W=PC鋼より線本数×0.28</v>
      </c>
      <c r="J57" s="16" t="str" cm="1">
        <f t="array" ref="J57">_xlfn.IFS(OR(D39=0,D43="　",MID(D44,1,3)="ｱﾙﾐ",1*MID(D46,1,2)=1,1*MID(D46,1,2)&gt;=5),"",MID(D44,1,3)&lt;&gt;"ｱﾙﾐ","g")</f>
        <v>g</v>
      </c>
      <c r="K57" s="77" cm="1">
        <f t="array" ref="K57">_xlfn.IFS(OR(D39=0,D43="　",MID(D44,1,3)="ｱﾙﾐ",1*MID(D46,1,2)=1,1*MID(D46,1,2)&gt;=5),"",MID(D44,1,3)&lt;&gt;"ｱﾙﾐ",MID(D43,6,FIND("H",D43,6)-6)*IF(MID(D43,4,1)="5",0.28,0.4))</f>
        <v>0.56000000000000005</v>
      </c>
      <c r="L57" s="78">
        <f>IFERROR(D42*K57,"")</f>
        <v>0.56000000000000005</v>
      </c>
    </row>
    <row r="58" spans="2:12" ht="11.1" customHeight="1">
      <c r="B58" s="65" t="s">
        <v>32</v>
      </c>
      <c r="C58" s="3" t="s">
        <v>33</v>
      </c>
      <c r="D58" s="76"/>
      <c r="F58" s="24">
        <v>20</v>
      </c>
      <c r="G58" s="17" t="str" cm="1">
        <f t="array" ref="G58">_xlfn.IFS(OR(D39=0,D43="　",MID(D44,1,3)="ｱﾙﾐ",1*MID(D46,1,2)=1,1*MID(D46,1,2)&gt;=5),"",MID(D44,1,3)&lt;&gt;"ｱﾙﾐ","長期防錆スプレー")</f>
        <v>長期防錆スプレー</v>
      </c>
      <c r="H58" s="38" t="str" cm="1">
        <f t="array" ref="H58">_xlfn.IFS(OR(D39=0,D43="　",MID(D44,1,3)="ｱﾙﾐ",1*MID(D46,1,2)=1,1*MID(D46,1,2)&gt;=5),"",MID(D44,1,3)&lt;&gt;"ｱﾙﾐ","防錆オイル")</f>
        <v>防錆オイル</v>
      </c>
      <c r="I58" s="52" t="str" cm="1">
        <f t="array" ref="I58">_xlfn.IFS(OR(D39=0,D43="　",MID(D44,1,3)="ｱﾙﾐ",1*MID(D46,1,2)=1,1*MID(D46,1,2)&gt;=5),"",MID(D44,1,3)&lt;&gt;"ｱﾙﾐ","n=0.01×(PC鋼より線本数+"&amp;IF(MID(D43,4,1)="5","6","12")&amp;")")</f>
        <v>n=0.01×(PC鋼より線本数+6)</v>
      </c>
      <c r="J58" s="16" t="str" cm="1">
        <f t="array" ref="J58">_xlfn.IFS(OR(D39=0,D43="　",MID(D44,1,3)="ｱﾙﾐ",1*MID(D46,1,2)=1,1*MID(D46,1,2)&gt;=5),"",MID(D44,1,3)&lt;&gt;"ｱﾙﾐ","缶")</f>
        <v>缶</v>
      </c>
      <c r="K58" s="77" cm="1">
        <f t="array" ref="K58">_xlfn.IFS(OR(D39=0,D43="　",MID(D44,1,3)="ｱﾙﾐ",1*MID(D46,1,2)=1,1*MID(D46,1,2)&gt;=5),"",MID(D44,1,3)&lt;&gt;"ｱﾙﾐ",0.01*(IF(MID(D43,4,1)="5",6,12)+MID(LEFT(D43,LEN(D43)-1),6,2)))</f>
        <v>0.08</v>
      </c>
      <c r="L58" s="78">
        <f>IFERROR(D42*K58,"")</f>
        <v>0.08</v>
      </c>
    </row>
    <row r="59" spans="2:12" ht="11.1" customHeight="1">
      <c r="F59" s="24">
        <v>21</v>
      </c>
      <c r="G59" s="17" t="str">
        <f>IF(OR(D39=0,D43="　",1*MID(D46,1,2)&lt;=1,1*MID(D46,1,2)=3,,1*MID(D46,1,2)=6),"","ﾌﾘｰﾊﾟｯｶｰ注入ﾎｰｽ")</f>
        <v/>
      </c>
      <c r="H59" s="29" t="str">
        <f>IF(OR(D39=0,D43="　",1*MID(D46,1,2)&lt;=1,1*MID(D46,1,2)=3,,1*MID(D46,1,2)=6),"","φ16/20、ポリエチレン")</f>
        <v/>
      </c>
      <c r="I59" s="29" t="str">
        <f>IF(OR(D39=0,D43="　",1*MID(D46,1,2)&lt;=1,1*MID(D46,1,2)=3,,1*MID(D46,1,2)=6),"","L=自由長+緊張部長")</f>
        <v/>
      </c>
      <c r="J59" s="16" t="str">
        <f>IF(OR(D39=0,D43="　",1*MID(D46,1,2)&lt;=1,1*MID(D46,1,2)=3,,1*MID(D46,1,2)=6),"","m")</f>
        <v/>
      </c>
      <c r="K59" s="30" t="str">
        <f>IF(OR(D39=0,D43="　",1*MID(D46,1,2)&lt;=1,1*MID(D46,1,2)=3,,1*MID(D46,1,2)=6),"",D53+D54)</f>
        <v/>
      </c>
      <c r="L59" s="67" t="str">
        <f>IFERROR(D42*K59,"")</f>
        <v/>
      </c>
    </row>
    <row r="60" spans="2:12" ht="11.1" customHeight="1">
      <c r="F60" s="24">
        <v>22</v>
      </c>
      <c r="G60" s="17" t="str">
        <f>IF(OR(D39=0,D43="　",1*MID(D46,1,2)&lt;=1,1*MID(D46,1,2)=3,,1*MID(D46,1,2)=6),"","フリーパッカー")</f>
        <v/>
      </c>
      <c r="H60" s="52" t="str" cm="1">
        <f t="array" ref="H60">IF(OR(D39=0,D43="　",1*MID(D46,1,2)&lt;=1,1*MID(D46,1,2)=3,1*MID(D46,1,2)=6),"",_xlfn.SWITCH(D50,90,"PA-170",115,"PA-200",135,"PA-240",146,"PA-290",165,"PA-350",216,"PA-420")&amp;"、織布")</f>
        <v/>
      </c>
      <c r="I60" s="52" t="str">
        <f>IF(OR(D39=0,D43="　",1*MID(D46,1,2)&lt;=1,1*MID(D46,1,2)=3,1*MID(D46,1,2)=6),"","L=自由長+0.5")</f>
        <v/>
      </c>
      <c r="J60" s="16" t="str">
        <f>IF(OR(D39=0,D43="　",1*MID(D46,1,2)&lt;=1,1*MID(D46,1,2)=3,,1*MID(D46,1,2)=6),"","m")</f>
        <v/>
      </c>
      <c r="K60" s="30" t="str">
        <f>IF(OR(D39=0,D43="　",1*MID(D46,1,2)&lt;=1,1*MID(D46,1,2)=3,,1*MID(D46,1,2)=6),"",D53+0.5)</f>
        <v/>
      </c>
      <c r="L60" s="69" t="str">
        <f>IFERROR(D42*K60,"")</f>
        <v/>
      </c>
    </row>
    <row r="61" spans="2:12" ht="11.1" customHeight="1">
      <c r="F61" s="24">
        <v>23</v>
      </c>
      <c r="G61" s="17" t="str">
        <f>IF(OR(D39=0,D43="　",1*MID(D46,1,2)&lt;=1,1*MID(D46,1,2)=3,,1*MID(D46,1,2)=6),"","ﾌﾘｰﾊﾟｯｶｰ取付加工")</f>
        <v/>
      </c>
      <c r="H61" s="29" t="str">
        <f>IF(OR(D39=0,D43="　",1*MID(D46,1,2)&lt;=1,1*MID(D46,1,2)=3,,1*MID(D46,1,2)=6),"","材工")</f>
        <v/>
      </c>
      <c r="I61" s="29" t="str">
        <f>IF(OR(D39=0,D43="　",1*MID(D46,1,2)&lt;=1,1*MID(D46,1,2)=3,,1*MID(D46,1,2)=6),"","n=1")</f>
        <v/>
      </c>
      <c r="J61" s="16" t="str">
        <f>IF(OR(D39=0,D43="　",1*MID(D46,1,2)&lt;=1,1*MID(D46,1,2)=3,,1*MID(D46,1,2)=6),"","式")</f>
        <v/>
      </c>
      <c r="K61" s="32" t="str">
        <f>IF(OR(D39=0,D43="　",1*MID(D46,1,2)&lt;=1,1*MID(D46,1,2)=3,,1*MID(D46,1,2)=6),"",1)</f>
        <v/>
      </c>
      <c r="L61" s="70" t="str">
        <f>IFERROR(D42*K61,"")</f>
        <v/>
      </c>
    </row>
    <row r="62" spans="2:12" ht="11.1" customHeight="1">
      <c r="F62" s="24">
        <v>24</v>
      </c>
      <c r="G62" s="17" t="str">
        <f>IF(OR(D39=0,D43="　",1*MID(D46,1,2)&lt;=2,1*MID(D46,1,2)=5),"","フリクションパッカー")</f>
        <v/>
      </c>
      <c r="H62" s="38" t="str" cm="1">
        <f t="array" ref="H62">IF(OR(D39=0,D43="　",1*MID(D46,1,2)&lt;=2,1*MID(D46,1,2)=5),"",_xlfn.SWITCH(D50,90,"FP125",115,"FP125",135,"FP150",146,"FP175",165,"FP200",216,"FP235")&amp;"、パイレン布")</f>
        <v/>
      </c>
      <c r="I62" s="38" t="str">
        <f>IF(OR(D39=0,D43="　",1*MID(D46,1,2)&lt;=2,1*MID(D46,1,2)=5),"","L=アンカー体長+0.5")</f>
        <v/>
      </c>
      <c r="J62" s="16" t="str">
        <f>IF(OR(D39=0,D43="　",1*MID(D46,1,2)&lt;=2,1*MID(D46,1,2)=5),"","m")</f>
        <v/>
      </c>
      <c r="K62" s="30" t="str">
        <f>IF(OR(D39=0,D43="　",1*MID(D46,1,2)&lt;=2,1*MID(D46,1,2)=5),"",D49+0.5)</f>
        <v/>
      </c>
      <c r="L62" s="68" t="str">
        <f>IFERROR(D42*K62,"")</f>
        <v/>
      </c>
    </row>
    <row r="63" spans="2:12" ht="11.1" customHeight="1">
      <c r="F63" s="24">
        <v>25</v>
      </c>
      <c r="G63" s="17" t="str">
        <f>IF(OR(D39=0,D43="　",1*MID(D46,1,2)&lt;=2,1*MID(D46,1,2)=5),"","ﾌﾘｸｼｮﾝﾊﾟｯｶｰ取付加工")</f>
        <v/>
      </c>
      <c r="H63" s="29" t="str">
        <f>IF(OR(D39=0,D43="　",1*MID(D46,1,2)&lt;=2,1*MID(D46,1,2)=5),"","材工")</f>
        <v/>
      </c>
      <c r="I63" s="29" t="str">
        <f>IF(OR(D39=0,D43="　",1*MID(D46,1,2)&lt;=2,1*MID(D46,1,2)=5),"","n=1")</f>
        <v/>
      </c>
      <c r="J63" s="16" t="str">
        <f>IF(OR(D39=0,D43="　",1*MID(D46,1,2)&lt;=2,1*MID(D46,1,2)=5),"","式")</f>
        <v/>
      </c>
      <c r="K63" s="32" t="str">
        <f>IF(OR(D39=0,D43="　",1*MID(D46,1,2)&lt;=2,1*MID(D46,1,2)=5),"",1)</f>
        <v/>
      </c>
      <c r="L63" s="70" t="str">
        <f>IFERROR(D42*K63,"")</f>
        <v/>
      </c>
    </row>
    <row r="64" spans="2:12" ht="11.1" customHeight="1">
      <c r="F64" s="24">
        <v>26</v>
      </c>
      <c r="G64" s="17" t="str">
        <f>IF(OR(D39=0,D43="　",1*MID(D46,1,2)=0,1*MID(D46,1,2)=2,1*MID(D46,1,2)=3,1*MID(D46,1,2)=4),"","試験ﾊﾟｯｶｰ水注入ﾎｰｽ")</f>
        <v/>
      </c>
      <c r="H64" s="38" t="str">
        <f>IF(OR(D39=0,D43="　",1*MID(D46,1,2)=0,1*MID(D46,1,2)=2,1*MID(D46,1,2)=3,1*MID(D46,1,2)=4),"","φ4/6、ナイロン")</f>
        <v/>
      </c>
      <c r="I64" s="38" t="str">
        <f>IF(OR(D39=0,D43="　",1*MID(D46,1,2)=0,1*MID(D46,1,2)=2,1*MID(D46,1,2)=3,1*MID(D46,1,2)=4),"","L=自由長+緊張部長")</f>
        <v/>
      </c>
      <c r="J64" s="79" t="str">
        <f>IF(OR(D39=0,D43="　",1*MID(D46,1,2)=0,1*MID(D46,1,2)=2,1*MID(D46,1,2)=3,1*MID(D46,1,2)=4),"","m")</f>
        <v/>
      </c>
      <c r="K64" s="80" t="str">
        <f>IF(OR(D39=0,D43="　",1*MID(D46,1,2)=0,1*MID(D46,1,2)=2,1*MID(D46,1,2)=3,1*MID(D46,1,2)=4),"",D53+D54)</f>
        <v/>
      </c>
      <c r="L64" s="81" t="str">
        <f>IFERROR(D42*K64,"")</f>
        <v/>
      </c>
    </row>
    <row r="65" spans="2:12" ht="11.1" customHeight="1">
      <c r="F65" s="24">
        <v>27</v>
      </c>
      <c r="G65" s="17" t="str">
        <f>IF(OR(D39=0,D43="　",1*MID(D46,1,2)=0,1*MID(D46,1,2)=2,1*MID(D46,1,2)=3,1*MID(D46,1,2)=4),"","引抜試験パッカー")</f>
        <v/>
      </c>
      <c r="H65" s="38" t="str" cm="1">
        <f t="array" ref="H65">IF(OR(D39=0,D43="　",1*MID(D46,1,2)=0,1*MID(D46,1,2)=2,1*MID(D46,1,2)=3,1*MID(D46,1,2)=4),"",_xlfn.SWITCH(D50,90,"PU90",115,"PU115",135,"PU135",146,"PU146",165,"PU165")&amp;"、3層構造(鋼管･ゴム･布)")</f>
        <v/>
      </c>
      <c r="I65" s="38" t="str">
        <f>IF(OR(D39=0,D43="　",1*MID(D46,1,2)=0,1*MID(D46,1,2)=2,1*MID(D46,1,2)=3,1*MID(D46,1,2)=4),"","n=1")</f>
        <v/>
      </c>
      <c r="J65" s="79" t="str">
        <f>IF(OR(D39=0,D43="　",1*MID(D46,1,2)=0,1*MID(D46,1,2)=2,1*MID(D46,1,2)=3,1*MID(D46,1,2)=4),"","式")</f>
        <v/>
      </c>
      <c r="K65" s="32" t="str" cm="1">
        <f t="array" ref="K65">IF(OR(D39=0,D43="　",1*MID(D46,1,2)=0,1*MID(D46,1,2)=2,1*MID(D46,1,2)=3,1*MID(D46,1,2)=4),"",_xlfn.IFS(OR(1*MID(D46,1,2)=1,1*MID(D46,1,2)&gt;=5),1))</f>
        <v/>
      </c>
      <c r="L65" s="68" t="str">
        <f>IFERROR(D42*K65,"")</f>
        <v/>
      </c>
    </row>
    <row r="66" spans="2:12" ht="11.1" customHeight="1">
      <c r="F66" s="24">
        <v>28</v>
      </c>
      <c r="G66" s="17" t="str">
        <f>IF(OR(D39=0,D43="　",1*MID(D46,1,2)=0,1*MID(D46,1,2)=2,1*MID(D46,1,2)=3,1*MID(D46,1,2)=4),"","引抜試験パッカー取付加工")</f>
        <v/>
      </c>
      <c r="H66" s="38" t="str">
        <f>IF(OR(D39=0,D43="　",1*MID(D46,1,2)=0,1*MID(D46,1,2)=2,1*MID(D46,1,2)=3,1*MID(D46,1,2)=4),"","材工")</f>
        <v/>
      </c>
      <c r="I66" s="38" t="str">
        <f>IF(OR(D39=0,D43="　",1*MID(D46,1,2)=0,1*MID(D46,1,2)=2,1*MID(D46,1,2)=3,1*MID(D46,1,2)=4),"","n=1")</f>
        <v/>
      </c>
      <c r="J66" s="79" t="str" cm="1">
        <f t="array" ref="J66">IF(OR(D39=0,D43="　",1*MID(D46,1,2)=0,1*MID(D46,1,2)=2,1*MID(D46,1,2)=3,1*MID(D46,1,2)=4),"",_xlfn.IFS(OR(1*MID(D46,1,2)=1,1*MID(D46,1,2)&gt;=5),"式"))</f>
        <v/>
      </c>
      <c r="K66" s="32" t="str" cm="1">
        <f t="array" ref="K66">IF(OR(D39=0,D43="　",1*MID(D46,1,2)=0,1*MID(D46,1,2)=2,1*MID(D46,1,2)=3,1*MID(D46,1,2)=4),"",_xlfn.IFS(OR(1*MID(D46,1,2)=1,1*MID(D46,1,2)&gt;=5),1))</f>
        <v/>
      </c>
      <c r="L66" s="68" t="str">
        <f>IFERROR(D42*K66,"")</f>
        <v/>
      </c>
    </row>
    <row r="67" spans="2:12" ht="11.1" customHeight="1">
      <c r="F67" s="24">
        <v>29</v>
      </c>
      <c r="G67" s="17" t="str">
        <f>IF(OR(D39=0,D43="　",1*MID(D46,1,2)=0,1*MID(D46,1,2)=2,1*MID(D46,1,2)=3,1*MID(D46,1,2)=4),"","自由長洗浄ﾎｰｽ")</f>
        <v/>
      </c>
      <c r="H67" s="38" t="str">
        <f>IF(OR(D39=0,D43="　",1*MID(D46,1,2)=0,1*MID(D46,1,2)=2,1*MID(D46,1,2)=3,1*MID(D46,1,2)=4),"","φ16/20、ポリエチレン")</f>
        <v/>
      </c>
      <c r="I67" s="38" t="str">
        <f>IF(OR(D39=0,D43="　",1*MID(D46,1,2)=0,1*MID(D46,1,2)=2,1*MID(D46,1,2)=3,1*MID(D46,1,2)=4),"","L=自由長+0.5")</f>
        <v/>
      </c>
      <c r="J67" s="79" t="str">
        <f>IF(OR(D39=0,D43="　",1*MID(D46,1,2)=0,1*MID(D46,1,2)=2,1*MID(D46,1,2)=3,1*MID(D46,1,2)=4),"","m")</f>
        <v/>
      </c>
      <c r="K67" s="32" t="str">
        <f>IF(OR(D39=0,D43="　",1*MID(D46,1,2)=0,1*MID(D46,1,2)=2,1*MID(D46,1,2)=3,1*MID(D46,1,2)=4),"",D53+0.5)</f>
        <v/>
      </c>
      <c r="L67" s="81" t="str">
        <f>IFERROR(D42*K67,"")</f>
        <v/>
      </c>
    </row>
    <row r="68" spans="2:12" ht="11.1" customHeight="1">
      <c r="D68" s="1" t="s">
        <v>9</v>
      </c>
      <c r="F68" s="56">
        <v>30</v>
      </c>
      <c r="G68" s="82" t="str">
        <f>IF(OR(D39=0,D43="　",1*MID(D46,1,2)&lt;=2,1*MID(D46,1,2)=5,MID(D68,6,2)&lt;&gt;"あり"),"","確認ホース")</f>
        <v/>
      </c>
      <c r="H68" s="83" t="str">
        <f>IF(OR(D39=0,D43="　",1*MID(D46,1,2)&lt;=2,1*MID(D46,1,2)=5,MID(D68,6,2)&lt;&gt;"あり"),"","φ17、ポリエチレン")</f>
        <v/>
      </c>
      <c r="I68" s="83"/>
      <c r="J68" s="84" t="str">
        <f>IF(OR(D39=0,D43="　",1*MID(D46,1,2)&lt;=2,1*MID(D46,1,2)=5,MID(D68,6,2)&lt;&gt;"あり"),"","m")</f>
        <v/>
      </c>
      <c r="K68" s="85" t="str">
        <f>IF(OR(D38=0,D43="　",1*MID(D46,1,2)&lt;=2,1*MID(D46,1,2)=5,MID(D68,6,2)&lt;&gt;"あり"),"",0.5+MROUND(D53+D55,0.1))</f>
        <v/>
      </c>
      <c r="L68" s="86" t="str">
        <f>IFERROR(D42*K68,"")</f>
        <v/>
      </c>
    </row>
    <row r="70" spans="2:12" ht="11.1" customHeight="1">
      <c r="B70" s="19" t="s">
        <v>1</v>
      </c>
      <c r="D70" s="4"/>
      <c r="G70" s="73" t="s">
        <v>39</v>
      </c>
    </row>
    <row r="71" spans="2:12" ht="11.1" customHeight="1">
      <c r="G71" s="99">
        <f>D72</f>
        <v>3</v>
      </c>
      <c r="H71" s="55" t="str">
        <f>IF(D73=0,"",D74&amp;" "&amp;D77&amp; "："&amp;TEXT(D90,"L=##0.00")&amp;"m"&amp;TEXT(D88,",L1=##0.00")&amp;"m"&amp;TEXT(D87,",Lf=##0.00")&amp;"m"&amp;TEXT(D83,",LA=##0.00")&amp;"m"&amp;TEXT(D89,",L2=##0.00")&amp;"m")</f>
        <v>(3)1列目：3段/4段 EHD5-2H：L=8.70m,L1=1.00m,Lf=4.50m,LA=3.00m,L2=0.20m</v>
      </c>
      <c r="I71" s="55"/>
      <c r="J71" s="18"/>
    </row>
    <row r="72" spans="2:12" ht="11.1" customHeight="1">
      <c r="B72" s="13" t="s">
        <v>2</v>
      </c>
      <c r="C72" s="3" t="s">
        <v>3</v>
      </c>
      <c r="D72" s="98">
        <f>1+(ROW()-ROW($D$4))/34</f>
        <v>3</v>
      </c>
      <c r="F72" s="20"/>
      <c r="G72" s="21" t="s">
        <v>21</v>
      </c>
      <c r="H72" s="22" t="s">
        <v>22</v>
      </c>
      <c r="I72" s="22" t="s">
        <v>38</v>
      </c>
      <c r="J72" s="23" t="s">
        <v>23</v>
      </c>
      <c r="K72" s="22" t="s">
        <v>24</v>
      </c>
      <c r="L72" s="3" t="s">
        <v>4</v>
      </c>
    </row>
    <row r="73" spans="2:12" ht="11.1" customHeight="1">
      <c r="B73" s="28" t="s">
        <v>25</v>
      </c>
      <c r="C73" s="5" t="s">
        <v>26</v>
      </c>
      <c r="D73" s="6">
        <v>1</v>
      </c>
      <c r="F73" s="24">
        <v>1</v>
      </c>
      <c r="G73" s="25" t="str">
        <f>IF(OR(D73=0,D77="　"),"","硅砂付着ECFﾃﾝﾄﾞﾝ")</f>
        <v>硅砂付着ECFﾃﾝﾄﾞﾝ</v>
      </c>
      <c r="H73" s="26" t="str">
        <f>IF(OR(D73=0,D77="　"),"",D77&amp;" ("&amp;MID(D77,6,FIND("H",D77,6)-6)&amp;IF(MID(D77,4,1)="5","φ12.7","φ15.2")&amp;")")</f>
        <v>EHD5-2H (2φ12.7)</v>
      </c>
      <c r="I73" s="57" t="str">
        <f>IF(OR(D73=0,D77="　"),"","W=テンドン長×PC鋼より線本数×"&amp;IF(MID(D77,4,1)="5","0.774","1.101")&amp;"kg/m")</f>
        <v>W=テンドン長×PC鋼より線本数×0.774kg/m</v>
      </c>
      <c r="J73" s="14" t="str">
        <f>IF(OR(D73=0,D77="　"),"","kg")</f>
        <v>kg</v>
      </c>
      <c r="K73" s="27">
        <f>IF(OR(D73=0,D77="　"),"",MROUND(D90*MID(D77,6,FIND("H",D77,6)-6)*IF(MID(D77,4,1)="5","0.774","1.101"),0.01))</f>
        <v>13.47</v>
      </c>
      <c r="L73" s="15">
        <f>IFERROR(D76*K73,"")</f>
        <v>13.47</v>
      </c>
    </row>
    <row r="74" spans="2:12" ht="11.1" customHeight="1">
      <c r="B74" s="31" t="s">
        <v>45</v>
      </c>
      <c r="C74" s="71" t="s">
        <v>6</v>
      </c>
      <c r="D74" s="74" t="s">
        <v>109</v>
      </c>
      <c r="F74" s="24">
        <v>2</v>
      </c>
      <c r="G74" s="17" t="str">
        <f>IF(OR(D73=0,D77="　"),"","アンカー工場加工")</f>
        <v>アンカー工場加工</v>
      </c>
      <c r="H74" s="29"/>
      <c r="I74" s="46" t="str">
        <f>IF(OR(D73=0,D77="　"),"","L=テンドン長")</f>
        <v>L=テンドン長</v>
      </c>
      <c r="J74" s="16" t="str">
        <f>IF(OR(D73=0,D77="　"),"","m")</f>
        <v>m</v>
      </c>
      <c r="K74" s="30">
        <f>IF(OR(D73=0,D77="　"),"",MROUND(D90,0.1))</f>
        <v>8.7000000000000011</v>
      </c>
      <c r="L74" s="67">
        <f>IFERROR(D76*K74,"")</f>
        <v>8.7000000000000011</v>
      </c>
    </row>
    <row r="75" spans="2:12" ht="11.1" customHeight="1">
      <c r="B75" s="34" t="s">
        <v>7</v>
      </c>
      <c r="C75" s="49" t="s">
        <v>6</v>
      </c>
      <c r="D75" s="2" t="s">
        <v>34</v>
      </c>
      <c r="F75" s="24">
        <v>3</v>
      </c>
      <c r="G75" s="17" t="str">
        <f>IF(OR(D73=0,D77="　",1*MID(D80,1,2)=1,1*MID(D80,1,2)&gt;=5),"","頭部キャップ")</f>
        <v>頭部キャップ</v>
      </c>
      <c r="H75" s="29" t="str" cm="1">
        <f t="array" ref="H75">IF(OR(D73=0,D77="　",1*MID(D80,1,2)=1,1*MID(D80,1,2)&gt;=5),"",IF(MID(D77,4,1)="5",_xlfn.SWITCH(1*MID(D77,6,FIND("H",D77,6)-6),1,"S",2,"S",3,"S",4,"S",5,"M",6,"M",7,"M",8,"L",9,"L",10,"L",11,"L",12,"L"),_xlfn.SWITCH(1*MID(D77,6,FIND("H",D77,6)-6),1,"S",2,"S",3,"M",4,"M",5,"L",6,"L",7,"L",8,"LL",9,"LL",10,"LL",11,"LL",12,"LL",13,"LL",14,"LL",15,"3L",16,"3L",17,"3L",18,"3L",19,"3L"))&amp;"型"&amp;MID(D78,IF(MID(D78,1,1)="G",4,1),10)&amp;IF(OR(MID(D78,1,2)="透明",MID(D78,1,2)="5窓"),"、PC樹脂","")&amp;IF(MID(D78,4,2)="鋼製","、SS400相当、HDZT77めっき","、ｱﾙﾐAC4C相当"))&amp;_xlfn.IFS(OR(D73=0,D77="　",MID(D75,1,3)="防食Ⅱ"),"",MID(D75,5,2)="塩害","、ﾀｹｺｰﾄ処理",MID(D75,5,2)="酸性","、重防食処理")</f>
        <v>S型透明ｷｬｯﾌﾟ、PC樹脂、ｱﾙﾐAC4C相当</v>
      </c>
      <c r="I75" s="52" t="str">
        <f>IF(OR(D73=0,D77="　",1*MID(D80,1,2)=1,1*MID(D80,1,2)&gt;=5),"","n=1")</f>
        <v>n=1</v>
      </c>
      <c r="J75" s="16" t="str">
        <f>IF(OR(D73=0,D77="　",1*MID(D80,1,2)=1,1*MID(D80,1,2)&gt;=5),"","個")</f>
        <v>個</v>
      </c>
      <c r="K75" s="32">
        <f>IF(OR(D73=0,D77="　",1*MID(D80,1,2)=1,1*MID(D80,1,2)&gt;=5),"",1)</f>
        <v>1</v>
      </c>
      <c r="L75" s="68">
        <f>IFERROR(D76*K75,"")</f>
        <v>1</v>
      </c>
    </row>
    <row r="76" spans="2:12" ht="11.1" customHeight="1">
      <c r="B76" s="31" t="s">
        <v>27</v>
      </c>
      <c r="C76" s="10" t="s">
        <v>5</v>
      </c>
      <c r="D76" s="75">
        <v>1</v>
      </c>
      <c r="F76" s="24">
        <v>4</v>
      </c>
      <c r="G76" s="17" t="str">
        <f>IF(OR(D73=0,D77="　",1*MID(D80,1,2)=1,1*MID(D80,1,2)&gt;=5),"","アンカーヘッド")</f>
        <v>アンカーヘッド</v>
      </c>
      <c r="H76" s="29" t="str" cm="1">
        <f t="array" ref="H76">IF(OR(D73=0,D77="　",1*MID(D80,1,2)=1,1*MID(D80,1,2)&gt;=5),"",IF(MID(D77,4,1)="5","G5"&amp;_xlfn.SWITCH(1*MID(D77,6,FIND("H",D77,6)-6),1,"01",2,"02",3,"03",4,"04",5,"07",6,"07",7,"07",8,"09",9,"09",10,"12",11,"12",12,"12"),"G6"&amp;_xlfn.SWITCH(1*MID(D77,6,FIND("H",D77,6)-6),1,"01",2,"02",3,"03",4,"04",5,"07",6,"07",7,"07",8,"09",9,"09",10,"12",11,"12",12,"12",13,"14",14,"14",15,"19",16,"19",17,"19",18,"19",19,"19"))&amp;"、S45C相当")&amp;IF(OR(D73=0,D77="　",MID(D78,1,3)="ｱﾙﾐ",1*MID(D80,1,2)=1,1*MID(D80,1,2)&gt;=5),"","、無電解Niめっき")</f>
        <v>G502、S45C相当、無電解Niめっき</v>
      </c>
      <c r="I76" s="52" t="str">
        <f>IF(OR(D73=0,D77="　",1*MID(D80,1,2)=1,1*MID(D80,1,2)&gt;=5),"","n=1")</f>
        <v>n=1</v>
      </c>
      <c r="J76" s="16" t="str">
        <f>IF(OR(D73=0,D77="　",1*MID(D80,1,2)=1,1*MID(D80,1,2)&gt;=5),"","個")</f>
        <v>個</v>
      </c>
      <c r="K76" s="32">
        <f>IF(OR(D73=0,D77="　",1*MID(D80,1,2)=1,1*MID(D80,1,2)&gt;=5),"",1)</f>
        <v>1</v>
      </c>
      <c r="L76" s="68">
        <f>IFERROR(D76*K76,"")</f>
        <v>1</v>
      </c>
    </row>
    <row r="77" spans="2:12" ht="11.1" customHeight="1">
      <c r="B77" s="33" t="s">
        <v>28</v>
      </c>
      <c r="C77" s="71" t="s">
        <v>6</v>
      </c>
      <c r="D77" s="7" t="s">
        <v>115</v>
      </c>
      <c r="F77" s="24">
        <v>5</v>
      </c>
      <c r="G77" s="17" t="str">
        <f>IF(OR(D73=0,D77="　",1*MID(D80,1,2)=1,1*MID(D80,1,2)&gt;=5),"","ナット")</f>
        <v>ナット</v>
      </c>
      <c r="H77" s="29" t="str" cm="1">
        <f t="array" ref="H77">IF(OR(D73=0,D77="　",1*MID(D80,1,2)=1,1*MID(D80,1,2)&gt;=5),"",IF(MID(D77,4,1)="5","G5"&amp;_xlfn.SWITCH(1*MID(D77,6,FIND("H",D77,6)-6),1,"01",2,"02",3,"03",4,"04",5,"07",6,"07",7,"07",8,"09",9,"09",10,"12",11,"12",12,"12"),"G6"&amp;_xlfn.SWITCH(1*MID(D77,6,FIND("H",D77,6)-6),1,"01",2,"02",3,"03",4,"04",5,"07",6,"07",7,"07",8,"09",9,"09",10,"12",11,"12",12,"12",13,"14",14,"14",15,"19",16,"19",17,"19",18,"19",19,"19"))&amp;"、S45C相当")&amp;IF(OR(D73=0,D77="　",MID(D78,1,3)="ｱﾙﾐ",1*MID(D80,1,2)=1,1*MID(D80,1,2)&gt;=5),"","、無電解Niめっき")</f>
        <v>G502、S45C相当、無電解Niめっき</v>
      </c>
      <c r="I77" s="52" t="str">
        <f>IF(OR(D73=0,D77="　",1*MID(D80,1,2)=1,1*MID(D80,1,2)&gt;=5),"","n=1")</f>
        <v>n=1</v>
      </c>
      <c r="J77" s="16" t="str">
        <f>IF(OR(D73=0,D77="　",1*MID(D80,1,2)=1,1*MID(D80,1,2)&gt;=5),"","個")</f>
        <v>個</v>
      </c>
      <c r="K77" s="32">
        <f>IF(OR(D73=0,D77="　",1*MID(D80,1,2)=1,1*MID(D80,1,2)&gt;=5),"",1)</f>
        <v>1</v>
      </c>
      <c r="L77" s="68">
        <f>IFERROR(D76*K77,"")</f>
        <v>1</v>
      </c>
    </row>
    <row r="78" spans="2:12" ht="11.1" customHeight="1">
      <c r="B78" s="35" t="s">
        <v>29</v>
      </c>
      <c r="C78" s="49" t="s">
        <v>6</v>
      </c>
      <c r="D78" s="2" t="s">
        <v>35</v>
      </c>
      <c r="F78" s="24">
        <v>6</v>
      </c>
      <c r="G78" s="17" t="str">
        <f>IF(OR(D73=0,D77="　",1*MID(D80,1,2)=1,1*MID(D80,1,2)&gt;=5),"","くさび")</f>
        <v>くさび</v>
      </c>
      <c r="H78" s="29" t="str">
        <f>IF(OR(D73=0,D77="　",1*MID(D80,1,2)=1,1*MID(D80,1,2)&gt;=5),"",IF(1*MID(D77,4,1)=5,"ECF12.7","ECF15.2")&amp;"、SCM415相当")&amp;IF(OR(D73=0,D77="　",MID(D78,1,3)="ｱﾙﾐ",1*MID(D80,1,2)=1,1*MID(D80,1,2)&gt;=5),"","、無電解Niめっき")</f>
        <v>ECF12.7、SCM415相当、無電解Niめっき</v>
      </c>
      <c r="I78" s="52" t="str">
        <f>IF(OR(D73=0,D77="　",1*MID(D80,1,2)=1,1*MID(D80,1,2)&gt;=5),"","n=1")</f>
        <v>n=1</v>
      </c>
      <c r="J78" s="16" t="str">
        <f>IF(OR(D73=0,D77="　",1*MID(D80,1,2)=1,1*MID(D80,1,2)&gt;=5),"","式")</f>
        <v>式</v>
      </c>
      <c r="K78" s="32">
        <f>IF(OR(D73=0,D77="　",1*MID(D80,1,2)=1,1*MID(D80,1,2)&gt;=5),"",1)</f>
        <v>1</v>
      </c>
      <c r="L78" s="68">
        <f>IFERROR(D76*K78,"")</f>
        <v>1</v>
      </c>
    </row>
    <row r="79" spans="2:12" ht="11.1" customHeight="1">
      <c r="B79" s="35" t="s">
        <v>8</v>
      </c>
      <c r="C79" s="49" t="s">
        <v>6</v>
      </c>
      <c r="D79" s="2" t="s">
        <v>36</v>
      </c>
      <c r="F79" s="24">
        <v>7</v>
      </c>
      <c r="G79" s="17" t="str">
        <f>IF(OR(D73=0,D77="　",1*MID(D80,1,2)=1,1*MID(D80,1,2)&gt;=5),"","押え板")</f>
        <v>押え板</v>
      </c>
      <c r="H79" s="29" t="str" cm="1">
        <f t="array" ref="H79">IF(OR(D73=0,D77="　",1*MID(D80,1,2)=1,1*MID(D80,1,2)&gt;=5),"",IF(MID(D77,4,1)="5","G5"&amp;_xlfn.SWITCH(1*MID(D77,6,FIND("H",D77,6)-6),1,"01",2,"04",3,"03",4,"04",5,"07",6,"07",7,"07",8,"12",9,"12",10,"12",11,"12",12,"12"),"G6"&amp;_xlfn.SWITCH(1*MID(D77,6,FIND("H",D77,6)-6),1,"01",2,"02",3,"03",4,"04",5,"07",6,"07",7,"07",8,"12",9,"12",10,"12",11,"12",12,"12",13,"14",14,"14",15,"19",16,"19",17,"19",18,"19",19,"19"))&amp;"、SS400相当")&amp;IF(OR(D73=0,D77="　",1*MID(D80,1,2)=1,1*MID(D80,1,2)&gt;=5),"","、"&amp;_xlfn.IFS(MID(D75,1,3)="防食Ⅱ","HDZT77めっき",MID(D75,5,2)="塩害","ｱﾙﾐﾅｲｽﾞ処理",MID(D75,5,2)="酸性","重防食処理"))</f>
        <v>G504、SS400相当、HDZT77めっき</v>
      </c>
      <c r="I79" s="52" t="str">
        <f>IF(OR(D73=0,D77="　",1*MID(D80,1,2)=1,1*MID(D80,1,2)&gt;=5),"","n=1")</f>
        <v>n=1</v>
      </c>
      <c r="J79" s="16" t="str">
        <f>IF(OR(D73=0,D77="　",1*MID(D80,1,2)=1,1*MID(D80,1,2)&gt;=5),"","枚")</f>
        <v>枚</v>
      </c>
      <c r="K79" s="32">
        <f>IF(OR(D73=0,D77="　",1*MID(D80,1,2)=1,1*MID(D80,1,2)&gt;=5),"",1)</f>
        <v>1</v>
      </c>
      <c r="L79" s="68">
        <f>IFERROR(D76*K79,"")</f>
        <v>1</v>
      </c>
    </row>
    <row r="80" spans="2:12" ht="11.1" customHeight="1">
      <c r="B80" s="36" t="s">
        <v>87</v>
      </c>
      <c r="C80" s="72" t="s">
        <v>6</v>
      </c>
      <c r="D80" s="8" t="s">
        <v>42</v>
      </c>
      <c r="F80" s="24">
        <v>8</v>
      </c>
      <c r="G80" s="17" t="str">
        <f>IF(OR(D73=0,D77="　"),"",IF(OR(1*MID(D80,1,2)=1,1*MID(D80,1,2)&gt;=5,MID(D79,1,3)&lt;&gt;"のり面"),"","管付")&amp;"支圧板")</f>
        <v>管付支圧板</v>
      </c>
      <c r="H80" s="29" t="str" cm="1">
        <f t="array" ref="H80">IF(OR(D73=0,D77="　"),"","PL"&amp;IF(OR(1*MID(D80,1,2)=1,1*MID(D80,1,2)&gt;=5,MID(D79,1,3)&lt;&gt;"のり面"),"","P")&amp;IF(MID(D77,4,1)="5","5-"&amp;_xlfn.SWITCH(1*MID(D77,6,FIND("H",D77,6)-6),1,"1",2,"2",3,"3",4,"4",5,"5",6,"6",7,"7",8,"9",9,"9",10,"10",11,"11",12,"12"),"6-"&amp;_xlfn.SWITCH(1*MID(D77,6,FIND("H",D77,6)-6),1,"1",2,"2",3,"3",4,"4",5,"6",6,"6",7,"7",8,"8",9,"9",10,"10",11,"11",12,"12",13,"14",14,"14",15,"16",16,"16",17,"17",18,"18",19,"19"))&amp;"、SS400相当")&amp;IF(OR(D73=0,D77="　"),"","、"&amp;_xlfn.IFS(MID(D75,1,3)="防食Ⅱ","HDZT77めっき",MID(D75,5,2)="塩害","ｱﾙﾐﾅｲｽﾞ処理",MID(D75,5,2)="酸性","重防食処理"))</f>
        <v>PLP5-2、SS400相当、HDZT77めっき</v>
      </c>
      <c r="I80" s="52" t="str">
        <f>IF(OR(D73=0,D77="　"),"","n=1")</f>
        <v>n=1</v>
      </c>
      <c r="J80" s="16" t="str">
        <f>IF(OR(D73=0,D77="　"),"","枚")</f>
        <v>枚</v>
      </c>
      <c r="K80" s="32">
        <f>IF(OR(D73=0,D77="　"),"",1)</f>
        <v>1</v>
      </c>
      <c r="L80" s="68">
        <f>IFERROR(D76*K80,"")</f>
        <v>1</v>
      </c>
    </row>
    <row r="81" spans="2:12" ht="11.1" customHeight="1">
      <c r="B81" s="37" t="str" cm="1">
        <f t="array" ref="B81">"頭部自由長"&amp;_xlfn.IFS(MID(D79,1,2)="なし","",MID(D79,1,3)="受圧体","(受圧体)",MID(D79,1,3)="のり面","(角度台座＋受圧体)",MID(D79,1,3)="構造物","(壁面台座)",MID(D79,1,3)="土留め","(台座+腹起し)",MID(D79,1,3)="個別台","(個別台座+腹起し)")&amp;"　Lfh"</f>
        <v>頭部自由長(角度台座＋受圧体)　Lfh</v>
      </c>
      <c r="C81" s="9" t="s">
        <v>10</v>
      </c>
      <c r="D81" s="75">
        <v>0.6</v>
      </c>
      <c r="F81" s="24">
        <v>9</v>
      </c>
      <c r="G81" s="17" t="str">
        <f>IF(OR(D73=0,D77="　",1*MID(D80,1,2)=1,1*MID(D80,1,2)&gt;=5),"","止水ゴム")</f>
        <v>止水ゴム</v>
      </c>
      <c r="H81" s="29" t="str">
        <f>IF(OR(D73=0,D77="　",1*MID(D80,1,2)=1,1*MID(D80,1,2)&gt;=5),"","G"&amp;MID(D77,4,4)&amp;"、NBR45相当")</f>
        <v>G5-2H、NBR45相当</v>
      </c>
      <c r="I81" s="52" t="str">
        <f>IF(OR(D73=0,D77="　",1*MID(D80,1,2)=1,1*MID(D80,1,2)&gt;=5),"","n=1")</f>
        <v>n=1</v>
      </c>
      <c r="J81" s="16" t="str">
        <f>IF(OR(D73=0,D77="　",1*MID(D80,1,2)=1,1*MID(D80,1,2)&gt;=5),"","個")</f>
        <v>個</v>
      </c>
      <c r="K81" s="32">
        <f>IF(OR(D73=0,D77="　",1*MID(D80,1,2)=1,1*MID(D80,1,2)&gt;=5),"",1)</f>
        <v>1</v>
      </c>
      <c r="L81" s="68">
        <f>IFERROR(D76*K81,"")</f>
        <v>1</v>
      </c>
    </row>
    <row r="82" spans="2:12" ht="11.1" customHeight="1">
      <c r="B82" s="31" t="s">
        <v>11</v>
      </c>
      <c r="C82" s="10" t="s">
        <v>10</v>
      </c>
      <c r="D82" s="75">
        <v>3.9</v>
      </c>
      <c r="F82" s="24">
        <v>10</v>
      </c>
      <c r="G82" s="17" t="str" cm="1">
        <f t="array" ref="G82">IF(OR(D73=0,D77="　",1*MID(D80,1,2)=1,1*MID(D80,1,2)&gt;=5),"",_xlfn.IFS(MID(D78,1,3)="ｱﾙﾐ","頭部防錆油",MID(D78,1,3)&lt;&gt;"ｱﾙﾐ","余長キャップ"))</f>
        <v>余長キャップ</v>
      </c>
      <c r="H82" s="29" t="str" cm="1">
        <f t="array" ref="H82">_xlfn.IFS(OR(D73=0,D77="　",1*MID(D80,1,2)=1,1*MID(D80,1,2)&gt;=5),"",MID(D78,1,3)="ｱﾙﾐ","PCコートC",MID(D78,1,3)&lt;&gt;"ｱﾙﾐ","TC"&amp;MID(D77,4,1)&amp;"、高密度ポリエチレン")</f>
        <v>TC5、高密度ポリエチレン</v>
      </c>
      <c r="I82" s="52" t="str" cm="1">
        <f t="array" ref="I82">_xlfn.IFS(OR(D73=0,D77="　",1*MID(D80,1,2)=1,1*MID(D80,1,2)&gt;=5),"",MID(D78,1,3)="ｱﾙﾐ","W="&amp;IF(MID(D77,4,1)="5",_xlfn.SWITCH(1*MID(LEFT(D77, LEN(D77)-1),6,2),1,1.9,2,1.3,3,1.3,4,1.3,5,1.6,6,1.6,7,1.6,8,3.1,9,3.1,10,3.1,11,3.1,12,3.1),"G6"&amp;_xlfn.SWITCH(1*MID(LEFT(D77, LEN(D77)-1),6,2),1,1.8,2,1.3,3,1.8,4,1.8,5,3.3,6,3.3,7,3.3,8,9.9,9,9.9,10,9.9,11,9.9,12,9.9,13,9.9,14,9.9)),MID(D78,1,3)&lt;&gt;"ｱﾙﾐ","n=1")</f>
        <v>n=1</v>
      </c>
      <c r="J82" s="16" t="str" cm="1">
        <f t="array" ref="J82">_xlfn.IFS(OR(D73=0,D77="　",1*MID(D80,1,2)=1,1*MID(D80,1,2)&gt;=5),"",MID(D78,1,3)="ｱﾙﾐ","kg",MID(D78,1,3)&lt;&gt;"ｱﾙﾐ","式")</f>
        <v>式</v>
      </c>
      <c r="K82" s="80" cm="1">
        <f t="array" ref="K82">_xlfn.IFS(OR(D73=0,D77="　",1*MID(D80,1,2)=1,1*MID(D80,1,2)&gt;=5),"",MID(D78,1,3)="ｱﾙﾐ",_xlfn.SWITCH(MID(D77,4,1),"5",_xlfn.SWITCH(1*MID(D77,6,FIND("H",D77,6)-6),1,1.9,2,1.3,3,1.3,4,1.3,5,1.6,6,1.6,7,1.6,8,3.1,9,3.1,10,3.1,11,3.1,12,3.1),"6",_xlfn.SWITCH(1*MID(D77,6,FIND("H",D77,6)-6),1,1.8,2,1.3,3,1.8,4,1.8,5,3.3,6,3.3,7,3.3,8,9.9,9,9.9,10,9.9,11,9.9,12,9.9,13,9.9,14,9.9)),MID(D78,1,3)&lt;&gt;"ｱﾙﾐ",1)</f>
        <v>1</v>
      </c>
      <c r="L82" s="68">
        <f>IFERROR(D76*K82,"")</f>
        <v>1</v>
      </c>
    </row>
    <row r="83" spans="2:12" ht="11.1" customHeight="1">
      <c r="B83" s="39" t="s">
        <v>18</v>
      </c>
      <c r="C83" s="40" t="s">
        <v>10</v>
      </c>
      <c r="D83" s="75">
        <v>3</v>
      </c>
      <c r="F83" s="24">
        <v>11</v>
      </c>
      <c r="G83" s="17" t="str">
        <f>IF(OR(D73=0,D77="　",1*MID(D80,1,2)=1,1*MID(D80,1,2)&gt;=5),"","配列スペーサ")</f>
        <v>配列スペーサ</v>
      </c>
      <c r="H83" s="29" t="str">
        <f>IF(OR(D73=0,D77="　",1*MID(D80,1,2)=1,1*MID(D80,1,2)&gt;=5),"",IF(MID(D77,4,1)="5","PS5-"&amp;_xlfn.SWITCH(1*MID(D77,6,FIND("H",D77,6)-6),1,"7",2,"2",3,"3",4,"4",5,"7",6,"7",7,"7",8,"12",9,"12",10,"12",11,"12",12,"12"),"PS6-"&amp;_xlfn.SWITCH(1*MID(D77,6,FIND("H",D77,6)-6),1,"7",2,"2",3,"3",4,"4",5,"7",6,"7",7,"7",8,"12",9,"12",10,"12",11,"12",12,"12",13,"14",14,"14",15,"19",16,"19",17,"19",18,"19",19,"19"))&amp;"、ポリエチレン")</f>
        <v>PS5-2、ポリエチレン</v>
      </c>
      <c r="I83" s="52" t="str">
        <f>IF(OR(D73=0,D77="　",1*MID(D80,1,2)=1,1*MID(D80,1,2)&gt;=5),"","n=2")</f>
        <v>n=2</v>
      </c>
      <c r="J83" s="16" t="str">
        <f>IF(OR(D73=0,D77="　",1*MID(D80,1,2)=1,1*MID(D80,1,2)&gt;=5),"","個")</f>
        <v>個</v>
      </c>
      <c r="K83" s="32">
        <f>IF(OR(D73=0,D77="　",1*MID(D80,1,2)=1,1*MID(D80,1,2)&gt;=5),"",2)</f>
        <v>2</v>
      </c>
      <c r="L83" s="68">
        <f>IFERROR(D76*K83,"")</f>
        <v>2</v>
      </c>
    </row>
    <row r="84" spans="2:12" ht="11.1" customHeight="1">
      <c r="B84" s="36" t="s">
        <v>17</v>
      </c>
      <c r="C84" s="11" t="s">
        <v>16</v>
      </c>
      <c r="D84" s="54">
        <v>90</v>
      </c>
      <c r="F84" s="24">
        <v>12</v>
      </c>
      <c r="G84" s="17" t="str">
        <f>IF(OR(D73=0,D77="　"),"","スペーサ")</f>
        <v>スペーサ</v>
      </c>
      <c r="H84" s="29" t="str" cm="1">
        <f t="array" ref="H84">IF(OR(D73=0,D77="　"),"",IF(MID(D77,4,1)="5","S5-"&amp;_xlfn.IFS(1*MID(D77,6,FIND("H",D77,6)-6)&lt;6,"5",1*MID(D77,6,FIND("H",D77,6)-6)&lt;9,"8",1*MID(D77,6,FIND("H",D77,6)-6)&gt;8,"12"),"S6-"&amp;_xlfn.IFS(1*MID(D77,6,FIND("H",D77,6)-6)&lt;4,"3",1*MID(D77,6,FIND("H",D77,6)-6)&lt;7,"6",1*MID(D77,6,FIND("H",D77,6)-6)&lt;10,"9",1*MID(D77,6,FIND("H",D77,6)-6)&lt;13,"12",1*MID(D77,6,FIND("H",D77,6)-6)&lt;15,"14",1*MID(D77,6,FIND("H",D77,6)-6)&lt;20,"19"))&amp;"、ポリプロピレン")</f>
        <v>S5-5、ポリプロピレン</v>
      </c>
      <c r="I84" s="58" t="str">
        <f>IF(OR(D73=0,D77="　"),"","n=mround(アンカー体長－0.4)÷@1.0m, 1.0)")</f>
        <v>n=mround(アンカー体長－0.4)÷@1.0m, 1.0)</v>
      </c>
      <c r="J84" s="16" t="str">
        <f>IF(OR(D73=0,D77="　"),"","個")</f>
        <v>個</v>
      </c>
      <c r="K84" s="38">
        <f>IF(OR(D73=0,D77="　"),"",MROUND((D83-0.4)/1,1))</f>
        <v>3</v>
      </c>
      <c r="L84" s="67">
        <f>IFERROR(D76*K84,"")</f>
        <v>3</v>
      </c>
    </row>
    <row r="85" spans="2:12" ht="11.1" customHeight="1">
      <c r="B85" s="41" t="s">
        <v>37</v>
      </c>
      <c r="C85" s="5" t="s">
        <v>16</v>
      </c>
      <c r="D85" s="66" cm="1">
        <f t="array" ref="D85">IF(OR(D73=0,D77="　"),"",_xlfn.SWITCH(1*MID(D80,1,2),0,_xlfn.SWITCH(1*MID(D77,4,1),5,_xlfn.SWITCH(1*MID(LEFT(D77, LEN(D77)-1),6,2),1,90,2,90,3,90,4,90,5,90,6,115,7,115,8,115,9,135,10,135,11,135,12,135),6,_xlfn.SWITCH(1*MID(LEFT(D77, LEN(D77)-1),6,2),1,90,2,90,3,90,4,115,5,115,6,115,7,135,8,135,9,135,10,146,11,146,12,146,13,165,14,165)),1,_xlfn.SWITCH(1*MID(D77,4,1),5,_xlfn.SWITCH(1*MID(LEFT(D77, LEN(D77)-1),6,2),1,90,2,90,3,90,4,90,5,115,6,115,7,135,8,135,9,135,10,135,11,165,12,165),6,_xlfn.SWITCH(1*MID(LEFT(D77, LEN(D77)-1),6,2),1,90,2,90,3,115,4,115,5,135,6,135,7,135,8,135,9,135,10,165,11,165,12,165,13,165,14,165)),2,_xlfn.SWITCH(1*MID(D77,4,1),5,_xlfn.SWITCH(1*MID(LEFT(D77, LEN(D77)-1),6,2),1,90,2,90,3,115,4,115,5,115,6,115,7,135,8,135,9,146,10,146,11,146,12,146),6,_xlfn.SWITCH(1*MID(LEFT(D77, LEN(D77)-1),6,2),1,90,2,90,3,115,4,115,5,135,6,135,7,146,8,146,9,146,10,165,11,165,12,165,13,216,14,216)),3,_xlfn.SWITCH(1*MID(D77,4,1),5,_xlfn.SWITCH(1*MID(LEFT(D77, LEN(D77)-1),6,2),1,115,2,115,3,115,4,115,5,115,6,135,7,135,8,135,9,146,10,146,11,146,12,146),6,_xlfn.SWITCH(1*MID(LEFT(D77, LEN(D77)-1),6,2),1,115,2,115,3,115,4,135,5,135,6,135,7,146,8,146,9,146,10,165,11,165,12,165,13,216,14,216)),4,_xlfn.SWITCH(1*MID(D77,4,1),5,_xlfn.SWITCH(1*MID(LEFT(D77, LEN(D77)-1),6,2),1,115,2,115,3,115,4,115,5,115,6,135,7,135,8,135,9,146,10,146,11,146,12,146),6,_xlfn.SWITCH(1*MID(LEFT(D77, LEN(D77)-1),6,2),1,115,2,115,3,115,4,135,5,135,6,135,7,146,8,146,9,146,10,165,11,165,12,165,13,216,14,216)),5,_xlfn.SWITCH(1*MID(D77,4,1),5,_xlfn.SWITCH(1*MID(LEFT(D77, LEN(D77)-1),6,2),1,90,2,90,3,115,4,115,5,115,6,115,7,135,8,135,9,165,10,165,11,165,12,165),6,_xlfn.SWITCH(1*MID(LEFT(D77, LEN(D77)-1),6,2),1,90,2,90,3,115,4,115,5,135,6,135,7,165,8,165,9,165,10,165,11,165,12,165,13,216,14,216)),6,_xlfn.SWITCH(1*MID(D77,4,1),5,_xlfn.SWITCH(1*MID(LEFT(D77, LEN(D77)-1),6,2),1,115,2,115,3,115,4,115,5,115,6,135,7,135,8,135,9,165,10,165,11,165,12,165),6,_xlfn.SWITCH(1*MID(LEFT(D77, LEN(D77)-1),6,2),1,115,2,115,3,115,4,135,5,135,6,135,7,165,8,165,9,165,10,165,11,165,12,165,13,216,14,216)),7,_xlfn.SWITCH(1*MID(D77,4,1),5,_xlfn.SWITCH(1*MID(LEFT(D77, LEN(D77)-1),6,2),1,115,2,115,3,115,4,115,5,115,6,135,7,135,8,135,9,165,10,165,11,165,12,165),6,_xlfn.SWITCH(1*MID(LEFT(D77, LEN(D77)-1),6,2),1,115,2,115,3,115,4,135,5,135,6,135,7,165,8,165,9,165,10,165,11,165,12,165,13,216,14,216))))</f>
        <v>90</v>
      </c>
      <c r="F85" s="24">
        <v>13</v>
      </c>
      <c r="G85" s="17" t="str">
        <f>IF(OR(D73=0,D77="　"),"","ﾊﾟｲﾛｯﾄｷｬｯﾌﾟ")</f>
        <v>ﾊﾟｲﾛｯﾄｷｬｯﾌﾟ</v>
      </c>
      <c r="H85" s="29" t="str" cm="1">
        <f t="array" ref="H85">IF(OR(D73=0,D77="　"),"",IF(MID(D77,4,1)="5","PC5-"&amp;_xlfn.IFS(1*MID(D77,6,FIND("H",D77,6)-6)&lt;5,"4",1*MID(D77,6,FIND("H",D77,6)-6)&lt;8,"7",1*MID(D77,6,FIND("H",D77,6)-6)&lt;10,"9",1*MID(D77,6,FIND("H",D77,6)-6)&gt;9,"12"),"PC6-"&amp;_xlfn.IFS(1*MID(D77,6,FIND("H",D77,6)-6)&lt;4,"3",1*MID(D77,6,FIND("H",D77,6)-6)&lt;8,"7",1*MID(D77,6,FIND("H",D77,6)-6)&lt;13,"12",1*MID(D77,6,FIND("H",D77,6)-6)&lt;15,"14",1*MID(D77,6,FIND("H",D77,6)-6)&lt;20,"19"))&amp;"、ポリプロピレン")</f>
        <v>PC5-4、ポリプロピレン</v>
      </c>
      <c r="I85" s="52" t="str">
        <f>IF(OR(D73=0,D77="　"),"","n=1")</f>
        <v>n=1</v>
      </c>
      <c r="J85" s="16" t="str">
        <f>IF(OR(D73=0,D77="　"),"","個")</f>
        <v>個</v>
      </c>
      <c r="K85" s="32">
        <f>IF(OR(D73=0,D77="　"),"",1)</f>
        <v>1</v>
      </c>
      <c r="L85" s="68">
        <f>IFERROR(D76*K85,"")</f>
        <v>1</v>
      </c>
    </row>
    <row r="86" spans="2:12" ht="11.1" customHeight="1">
      <c r="B86" s="43" t="s">
        <v>30</v>
      </c>
      <c r="C86" s="44" t="s">
        <v>31</v>
      </c>
      <c r="D86" s="59" t="str">
        <f>IF(OR(D73=0,D77="　"),"",IF(D84=D85,"OK","CHECK"))</f>
        <v>OK</v>
      </c>
      <c r="F86" s="24">
        <v>14</v>
      </c>
      <c r="G86" s="17" t="str">
        <f>IF(OR(D73=0,D77="　"),"","結束バンド")</f>
        <v>結束バンド</v>
      </c>
      <c r="H86" s="29" t="str">
        <f>IF(OR(D73=0,D77="　"),"","66ナイロン")</f>
        <v>66ナイロン</v>
      </c>
      <c r="I86" s="58" t="str">
        <f>IF(OR(D73=0,D77="　"),"","n=スペーサ数×2")</f>
        <v>n=スペーサ数×2</v>
      </c>
      <c r="J86" s="16" t="str">
        <f>IF(OR(D73=0,D77="　"),"","本")</f>
        <v>本</v>
      </c>
      <c r="K86" s="38">
        <f>IF(OR(D73=0,D77="　"),"",2*K84)</f>
        <v>6</v>
      </c>
      <c r="L86" s="67">
        <f>IFERROR(D76*K86,"")</f>
        <v>6</v>
      </c>
    </row>
    <row r="87" spans="2:12" ht="11.1" customHeight="1">
      <c r="B87" s="45" t="s">
        <v>12</v>
      </c>
      <c r="C87" s="9" t="s">
        <v>10</v>
      </c>
      <c r="D87" s="60">
        <f>IF(OR(D73=0,D77="　"),"──",SUM(D81:D82))</f>
        <v>4.5</v>
      </c>
      <c r="F87" s="24">
        <v>15</v>
      </c>
      <c r="G87" s="17" t="str">
        <f>IF(OR(D73=0,D77="　"),"","結束テープ")</f>
        <v>結束テープ</v>
      </c>
      <c r="H87" s="29" t="str">
        <f>IF(OR(D73=0,D77="　"),"","フィラメントテープ")</f>
        <v>フィラメントテープ</v>
      </c>
      <c r="I87" s="58" t="str">
        <f>IF(OR(D73=0,D77="　"),"","L=(自由長+緊張部長)÷@1.0m×テープ係数"&amp;IF(MID(D77,4,1)="5",_xlfn.IFS(1*MID(LEFT(D77, LEN(D77)-1),6,2)&lt;4,"0.8",1*MID(LEFT(D77, LEN(D77)-1),6,2)&lt;7,"1.0",1*MID(LEFT(D77, LEN(D77)-1),6,2)&lt;10,"1.2",1*MID(LEFT(D77, LEN(D77)-1),6,2)&lt;13,"1.4"),_xlfn.IFS(1*MID(LEFT(D77, LEN(D77)-1),6,2)&lt;4,"1.0",1*MID(LEFT(D77, LEN(D77)-1),6,2)&lt;7,"1.2",1*MID(LEFT(D77, LEN(D77)-1),6,2)&lt;10,"1.4",1*MID(LEFT(D77, LEN(D77)-1),6,2)&lt;15,"1.8")))</f>
        <v>L=(自由長+緊張部長)÷@1.0m×テープ係数0.8</v>
      </c>
      <c r="J87" s="16" t="str">
        <f>IF(OR(D73=0,D77="　"),"","m")</f>
        <v>m</v>
      </c>
      <c r="K87" s="42" cm="1">
        <f t="array" ref="K87">IF(OR(D73=0,D77="　"),"",MROUND((SUM(D87,D88))/1*IF(MID(D77,4,1)="5",_xlfn.SWITCH(1*MID(D77,6,FIND("H",D77,6)-6),1,0.8,2,0.8,3,0.8,4,1,5,1,6,1,7,1.2,8,1.2,9,1.2,10,1.4,11,1.4,12,1.4),_xlfn.SWITCH(1*MID(D77,6,FIND("H",D77,6)-6),1,1,2,1,3,1,4,1.2,5,1.2,6,1.2,7,1.4,8,1.4,9,1.4,10,1.8,11,1.8,12,1.8,13,1.8,14,1.8,15,2.5,16,2.5,17,2.5,18,2.5,19,2.5)),0.1))</f>
        <v>4.4000000000000004</v>
      </c>
      <c r="L87" s="69">
        <f>IFERROR(D76*K87,"")</f>
        <v>4.4000000000000004</v>
      </c>
    </row>
    <row r="88" spans="2:12" ht="11.1" customHeight="1">
      <c r="B88" s="47" t="s">
        <v>13</v>
      </c>
      <c r="C88" s="10" t="s">
        <v>10</v>
      </c>
      <c r="D88" s="61" cm="1">
        <f t="array" ref="D88">IF(OR(D73=0,D77="　"),"──",IF(MID(D77,4,1)="5",_xlfn.IFS(1*MID(LEFT(D77,LEN(D77)-1),6,2)&lt;8,1,1*MID(LEFT(D77,LEN(D77)-1),6,2)&lt;13,1.2),_xlfn.IFS(1*MID(LEFT(D77,LEN(D77)-1),6,2)&lt;6,1,1*MID(LEFT(D77,LEN(D77)-1),6,2)&lt;15,1.2)))</f>
        <v>1</v>
      </c>
      <c r="F88" s="24">
        <v>16</v>
      </c>
      <c r="G88" s="17" t="str">
        <f>IF(OR(D73=0,D77="　",1*MID(D80,1,2)=1,1*MID(D80,1,2)=5),"","注入ホース")</f>
        <v>注入ホース</v>
      </c>
      <c r="H88" s="29" t="str">
        <f>IF(OR(D73=0,D77="　",1*MID(D80,1,2)=1,1*MID(D80,1,2)=5),"","φ16/20、高密度ポリエチレン")</f>
        <v>φ16/20、高密度ポリエチレン</v>
      </c>
      <c r="I88" s="46" t="str">
        <f>IF(OR(D73=0,D77="　",1*MID(D80,1,2)=1,1*MID(D80,1,2)=5),"","L=テンドン長")</f>
        <v>L=テンドン長</v>
      </c>
      <c r="J88" s="16" t="str">
        <f>IF(OR(D73=0,D77="　",1*MID(D80,1,2)=1,1*MID(D80,1,2)=5),"","m")</f>
        <v>m</v>
      </c>
      <c r="K88" s="30">
        <f>IF(OR(D73=0,D77="　",1*MID(D80,1,2)=1,1*MID(D80,1,2)=5),"",MROUND(D90,0.1))</f>
        <v>8.7000000000000011</v>
      </c>
      <c r="L88" s="67">
        <f>IFERROR(D76*K88,"")</f>
        <v>8.7000000000000011</v>
      </c>
    </row>
    <row r="89" spans="2:12" ht="11.1" customHeight="1">
      <c r="B89" s="48" t="s">
        <v>19</v>
      </c>
      <c r="C89" s="10" t="s">
        <v>14</v>
      </c>
      <c r="D89" s="62">
        <f>IF(OR(D73=0,D77="　"),"──",0.2)</f>
        <v>0.2</v>
      </c>
      <c r="F89" s="24">
        <v>17</v>
      </c>
      <c r="G89" s="17" t="str" cm="1">
        <f t="array" ref="G89">_xlfn.IFS(OR(D73=0,D77="　",MID(D79,1,2)="なし",MID(D79,1,3)="受圧体",1*MID(D80,1,2)=1,1*MID(D80,1,2)&gt;=5),"",MID(D79,1,3)="のり面","のり面角度台座",MID(D79,1,3)="構造物","構造物壁面台座",MID(D79,1,3)="土留め","土留め台座",MID(D79,1,3)="個別台","個別台座")</f>
        <v>のり面角度台座</v>
      </c>
      <c r="H89" s="46" t="str" cm="1">
        <f t="array" ref="H89">IF(OR(D73=0,D77="　",G89=""),"",_xlfn.IFS(MID(D79,1,3)="のり面",IF(1*MID(D77,4,1)=5,_xlfn.IFS(1*MID(D77,6,FIND("H",D77,6)-6)&lt;5,"ST140",1*MID(D77,6,FIND("H",D77,6)-6)&lt;8,"ST170",1*MID(D77,6,FIND("H",D77,6)-6)&lt;13,"ST220"),_xlfn.IFS(1*MID(D77,6,FIND("H",D77,6)-6)&lt;4,"ST140",1*MID(D77,6,FIND("H",D77,6)-6)&lt;5,"ST170",1*MID(D77,6,FIND("H",D77,6)-6)&lt;8,"ST220",1*MID(D77,6,FIND("H",D77,6)-6)&lt;20,"非該当"))&amp;"、FCD450相当",OR(MID(D79,1,3)="構造物",MID(D79,1,3)="土留め",MID(D79,1,3)="個別台"),D77&amp;"用"&amp;_xlfn.IFS(MID(D79,1,3)="構造物","",MID(D79,1,3)="土留め",IF(1*MID(D77,4,1)=5,_xlfn.SWITCH(1*MID(D77,6,FIND("H",D77,6)-6),1,"DA110",2,"DA220",3,"DA330",4,"DA440",5,"DA550",6,"DA660",7,"DA770",8,"DA880",9,"DA990",10,"DA1100",11,"DA1210",12,"DA1320"),_xlfn.SWITCH(1*MID(D77,6,FIND("H",D77,6)-6),1,"DA220",2,"DA330",3,"DA550",4,"DA660",5,"DA880",6,"DA990",7,"DA1100",8,"DA1320",9,"DA1410",10,"DA1570",11,"DA1730",12,"DA1880",13,"DA2040",14,"DA2200")),MID(D79,1,3)="個別台",D92)))&amp;IF(OR(D73=0,D77="　",G89=""),"","、"&amp;_xlfn.IFS(MID(D75,1,3)="防食Ⅱ","HDZT77めっき",MID(D75,5,2)="塩害","ｱﾙﾐﾅｲｽﾞ処理",MID(D75,5,2)="酸性","重防食処理"))</f>
        <v>ST140、FCD450相当、HDZT77めっき</v>
      </c>
      <c r="I89" s="52" t="str">
        <f>IF(OR(D73=0,D77="　",G89=""),"","n=1")</f>
        <v>n=1</v>
      </c>
      <c r="J89" s="16" t="str">
        <f>IF(OR(D73=0,D77="　",G89=""),"","台")</f>
        <v>台</v>
      </c>
      <c r="K89" s="32">
        <f>IF(OR(D73=0,D77="　",G89=""),"",1)</f>
        <v>1</v>
      </c>
      <c r="L89" s="68">
        <f>IFERROR(D76*K89,"")</f>
        <v>1</v>
      </c>
    </row>
    <row r="90" spans="2:12" ht="11.1" customHeight="1">
      <c r="B90" s="50" t="s">
        <v>20</v>
      </c>
      <c r="C90" s="10" t="s">
        <v>10</v>
      </c>
      <c r="D90" s="63">
        <f>IF(OR(D73=0,D77="　"),"──",SUM(D83,D87:D89))</f>
        <v>8.6999999999999993</v>
      </c>
      <c r="F90" s="24">
        <v>18</v>
      </c>
      <c r="G90" s="17" t="str">
        <f>IF(OR(D73=0,D77="　",MID(D79,1,3)&lt;&gt;"のり面",1*MID(D80,1,2)=1,1*MID(D80,1,2)&gt;=5),"","補剛板")</f>
        <v>補剛板</v>
      </c>
      <c r="H90" s="46" t="str" cm="1">
        <f t="array" ref="H90">IF(OR(D73=0,D77="　",G90=""),"",IF(MID(D77,4,1)="5","□"&amp;_xlfn.SWITCH(1*MID(D77,6,FIND("H",D77,6)-6),1,"210φ131t12",2,"210φ131t12",3,"240φ131t12",4,"270φ131t12",5,"280φ143t12",6,"310φ143t16",7,"350φ143t19",8,"350φ180t19",9,"350φ180t19",10,"350φ180t19",11,"350φ180t22",12,"350φ180t22"),"□"&amp;_xlfn.SWITCH(1*MID(D77,6,FIND("H",D77,6)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73=0,D77="　",G90=""),"","、"&amp;_xlfn.IFS(MID(D75,1,3)="防食Ⅱ","HDZT77めっき",MID(D75,5,2)="塩害","ｱﾙﾐﾅｲｽﾞ処理",MID(D75,5,2)="酸性","重防食処理"))</f>
        <v>□210φ131t12、SS400相当、HDZT77めっき</v>
      </c>
      <c r="I90" s="52" t="str">
        <f>IF(OR(D73=0,D77="　",G90=""),"","n=1")</f>
        <v>n=1</v>
      </c>
      <c r="J90" s="16" t="str">
        <f>IF(OR(D73=0,D77="　",G90=""),"","枚")</f>
        <v>枚</v>
      </c>
      <c r="K90" s="32">
        <f>IF(OR(D73=0,D77="　",G90=""),"",1)</f>
        <v>1</v>
      </c>
      <c r="L90" s="68">
        <f>IFERROR(D76*K90,"")</f>
        <v>1</v>
      </c>
    </row>
    <row r="91" spans="2:12" ht="11.1" customHeight="1">
      <c r="B91" s="51" t="s">
        <v>15</v>
      </c>
      <c r="C91" s="12" t="s">
        <v>10</v>
      </c>
      <c r="D91" s="64">
        <f>IF(OR(D73=0,D77="　"),"──",0.25)</f>
        <v>0.25</v>
      </c>
      <c r="F91" s="24">
        <v>19</v>
      </c>
      <c r="G91" s="17" t="str" cm="1">
        <f t="array" ref="G91">_xlfn.IFS(OR(D73=0,D77="　",MID(D78,1,3)="ｱﾙﾐ",1*MID(D80,1,2)=1,1*MID(D80,1,2)&gt;=5),"",MID(D78,1,3)&lt;&gt;"ｱﾙﾐ","テンドン補修用塗料")</f>
        <v>テンドン補修用塗料</v>
      </c>
      <c r="H91" s="38" t="str" cm="1">
        <f t="array" ref="H91">_xlfn.IFS(OR(D73=0,D77="　",MID(D78,1,3)="ｱﾙﾐ",1*MID(D80,1,2)=1,1*MID(D80,1,2)&gt;=5),"",MID(D78,1,3)&lt;&gt;"ｱﾙﾐ","エポキシ樹脂")</f>
        <v>エポキシ樹脂</v>
      </c>
      <c r="I91" s="52" t="str" cm="1">
        <f t="array" ref="I91">_xlfn.IFS(OR(D73=0,D77="　",MID(D78,1,3)="ｱﾙﾐ",1*MID(D80,1,2)=1,1*MID(D80,1,2)&gt;=5),"",MID(D78,1,3)&lt;&gt;"ｱﾙﾐ","W=PC鋼より線本数×"&amp;IF(MID(D77,4,1)="5","0.28","0.4"))</f>
        <v>W=PC鋼より線本数×0.28</v>
      </c>
      <c r="J91" s="16" t="str" cm="1">
        <f t="array" ref="J91">_xlfn.IFS(OR(D73=0,D77="　",MID(D78,1,3)="ｱﾙﾐ",1*MID(D80,1,2)=1,1*MID(D80,1,2)&gt;=5),"",MID(D78,1,3)&lt;&gt;"ｱﾙﾐ","g")</f>
        <v>g</v>
      </c>
      <c r="K91" s="77" cm="1">
        <f t="array" ref="K91">_xlfn.IFS(OR(D73=0,D77="　",MID(D78,1,3)="ｱﾙﾐ",1*MID(D80,1,2)=1,1*MID(D80,1,2)&gt;=5),"",MID(D78,1,3)&lt;&gt;"ｱﾙﾐ",MID(D77,6,FIND("H",D77,6)-6)*IF(MID(D77,4,1)="5",0.28,0.4))</f>
        <v>0.56000000000000005</v>
      </c>
      <c r="L91" s="78">
        <f>IFERROR(D76*K91,"")</f>
        <v>0.56000000000000005</v>
      </c>
    </row>
    <row r="92" spans="2:12" ht="11.1" customHeight="1">
      <c r="B92" s="65" t="s">
        <v>32</v>
      </c>
      <c r="C92" s="3" t="s">
        <v>33</v>
      </c>
      <c r="D92" s="76"/>
      <c r="F92" s="24">
        <v>20</v>
      </c>
      <c r="G92" s="17" t="str" cm="1">
        <f t="array" ref="G92">_xlfn.IFS(OR(D73=0,D77="　",MID(D78,1,3)="ｱﾙﾐ",1*MID(D80,1,2)=1,1*MID(D80,1,2)&gt;=5),"",MID(D78,1,3)&lt;&gt;"ｱﾙﾐ","長期防錆スプレー")</f>
        <v>長期防錆スプレー</v>
      </c>
      <c r="H92" s="38" t="str" cm="1">
        <f t="array" ref="H92">_xlfn.IFS(OR(D73=0,D77="　",MID(D78,1,3)="ｱﾙﾐ",1*MID(D80,1,2)=1,1*MID(D80,1,2)&gt;=5),"",MID(D78,1,3)&lt;&gt;"ｱﾙﾐ","防錆オイル")</f>
        <v>防錆オイル</v>
      </c>
      <c r="I92" s="52" t="str" cm="1">
        <f t="array" ref="I92">_xlfn.IFS(OR(D73=0,D77="　",MID(D78,1,3)="ｱﾙﾐ",1*MID(D80,1,2)=1,1*MID(D80,1,2)&gt;=5),"",MID(D78,1,3)&lt;&gt;"ｱﾙﾐ","n=0.01×(PC鋼より線本数+"&amp;IF(MID(D77,4,1)="5","6","12")&amp;")")</f>
        <v>n=0.01×(PC鋼より線本数+6)</v>
      </c>
      <c r="J92" s="16" t="str" cm="1">
        <f t="array" ref="J92">_xlfn.IFS(OR(D73=0,D77="　",MID(D78,1,3)="ｱﾙﾐ",1*MID(D80,1,2)=1,1*MID(D80,1,2)&gt;=5),"",MID(D78,1,3)&lt;&gt;"ｱﾙﾐ","缶")</f>
        <v>缶</v>
      </c>
      <c r="K92" s="77" cm="1">
        <f t="array" ref="K92">_xlfn.IFS(OR(D73=0,D77="　",MID(D78,1,3)="ｱﾙﾐ",1*MID(D80,1,2)=1,1*MID(D80,1,2)&gt;=5),"",MID(D78,1,3)&lt;&gt;"ｱﾙﾐ",0.01*(IF(MID(D77,4,1)="5",6,12)+MID(LEFT(D77,LEN(D77)-1),6,2)))</f>
        <v>0.08</v>
      </c>
      <c r="L92" s="78">
        <f>IFERROR(D76*K92,"")</f>
        <v>0.08</v>
      </c>
    </row>
    <row r="93" spans="2:12" ht="11.1" customHeight="1">
      <c r="F93" s="24">
        <v>21</v>
      </c>
      <c r="G93" s="17" t="str">
        <f>IF(OR(D73=0,D77="　",1*MID(D80,1,2)&lt;=1,1*MID(D80,1,2)=3,,1*MID(D80,1,2)=6),"","ﾌﾘｰﾊﾟｯｶｰ注入ﾎｰｽ")</f>
        <v/>
      </c>
      <c r="H93" s="29" t="str">
        <f>IF(OR(D73=0,D77="　",1*MID(D80,1,2)&lt;=1,1*MID(D80,1,2)=3,,1*MID(D80,1,2)=6),"","φ16/20、ポリエチレン")</f>
        <v/>
      </c>
      <c r="I93" s="29" t="str">
        <f>IF(OR(D73=0,D77="　",1*MID(D80,1,2)&lt;=1,1*MID(D80,1,2)=3,,1*MID(D80,1,2)=6),"","L=自由長+緊張部長")</f>
        <v/>
      </c>
      <c r="J93" s="16" t="str">
        <f>IF(OR(D73=0,D77="　",1*MID(D80,1,2)&lt;=1,1*MID(D80,1,2)=3,,1*MID(D80,1,2)=6),"","m")</f>
        <v/>
      </c>
      <c r="K93" s="30" t="str">
        <f>IF(OR(D73=0,D77="　",1*MID(D80,1,2)&lt;=1,1*MID(D80,1,2)=3,,1*MID(D80,1,2)=6),"",D87+D88)</f>
        <v/>
      </c>
      <c r="L93" s="67" t="str">
        <f>IFERROR(D76*K93,"")</f>
        <v/>
      </c>
    </row>
    <row r="94" spans="2:12" ht="11.1" customHeight="1">
      <c r="F94" s="24">
        <v>22</v>
      </c>
      <c r="G94" s="17" t="str">
        <f>IF(OR(D73=0,D77="　",1*MID(D80,1,2)&lt;=1,1*MID(D80,1,2)=3,,1*MID(D80,1,2)=6),"","フリーパッカー")</f>
        <v/>
      </c>
      <c r="H94" s="52" t="str" cm="1">
        <f t="array" ref="H94">IF(OR(D73=0,D77="　",1*MID(D80,1,2)&lt;=1,1*MID(D80,1,2)=3,1*MID(D80,1,2)=6),"",_xlfn.SWITCH(D84,90,"PA-170",115,"PA-200",135,"PA-240",146,"PA-290",165,"PA-350",216,"PA-420")&amp;"、織布")</f>
        <v/>
      </c>
      <c r="I94" s="52" t="str">
        <f>IF(OR(D73=0,D77="　",1*MID(D80,1,2)&lt;=1,1*MID(D80,1,2)=3,1*MID(D80,1,2)=6),"","L=自由長+0.5")</f>
        <v/>
      </c>
      <c r="J94" s="16" t="str">
        <f>IF(OR(D73=0,D77="　",1*MID(D80,1,2)&lt;=1,1*MID(D80,1,2)=3,,1*MID(D80,1,2)=6),"","m")</f>
        <v/>
      </c>
      <c r="K94" s="30" t="str">
        <f>IF(OR(D73=0,D77="　",1*MID(D80,1,2)&lt;=1,1*MID(D80,1,2)=3,,1*MID(D80,1,2)=6),"",D87+0.5)</f>
        <v/>
      </c>
      <c r="L94" s="69" t="str">
        <f>IFERROR(D76*K94,"")</f>
        <v/>
      </c>
    </row>
    <row r="95" spans="2:12" ht="11.1" customHeight="1">
      <c r="F95" s="24">
        <v>23</v>
      </c>
      <c r="G95" s="17" t="str">
        <f>IF(OR(D73=0,D77="　",1*MID(D80,1,2)&lt;=1,1*MID(D80,1,2)=3,,1*MID(D80,1,2)=6),"","ﾌﾘｰﾊﾟｯｶｰ取付加工")</f>
        <v/>
      </c>
      <c r="H95" s="29" t="str">
        <f>IF(OR(D73=0,D77="　",1*MID(D80,1,2)&lt;=1,1*MID(D80,1,2)=3,,1*MID(D80,1,2)=6),"","材工")</f>
        <v/>
      </c>
      <c r="I95" s="29" t="str">
        <f>IF(OR(D73=0,D77="　",1*MID(D80,1,2)&lt;=1,1*MID(D80,1,2)=3,,1*MID(D80,1,2)=6),"","n=1")</f>
        <v/>
      </c>
      <c r="J95" s="16" t="str">
        <f>IF(OR(D73=0,D77="　",1*MID(D80,1,2)&lt;=1,1*MID(D80,1,2)=3,,1*MID(D80,1,2)=6),"","式")</f>
        <v/>
      </c>
      <c r="K95" s="32" t="str">
        <f>IF(OR(D73=0,D77="　",1*MID(D80,1,2)&lt;=1,1*MID(D80,1,2)=3,,1*MID(D80,1,2)=6),"",1)</f>
        <v/>
      </c>
      <c r="L95" s="70" t="str">
        <f>IFERROR(D76*K95,"")</f>
        <v/>
      </c>
    </row>
    <row r="96" spans="2:12" ht="11.1" customHeight="1">
      <c r="F96" s="24">
        <v>24</v>
      </c>
      <c r="G96" s="17" t="str">
        <f>IF(OR(D73=0,D77="　",1*MID(D80,1,2)&lt;=2,1*MID(D80,1,2)=5),"","フリクションパッカー")</f>
        <v/>
      </c>
      <c r="H96" s="38" t="str" cm="1">
        <f t="array" ref="H96">IF(OR(D73=0,D77="　",1*MID(D80,1,2)&lt;=2,1*MID(D80,1,2)=5),"",_xlfn.SWITCH(D84,90,"FP125",115,"FP125",135,"FP150",146,"FP175",165,"FP200",216,"FP235")&amp;"、パイレン布")</f>
        <v/>
      </c>
      <c r="I96" s="38" t="str">
        <f>IF(OR(D73=0,D77="　",1*MID(D80,1,2)&lt;=2,1*MID(D80,1,2)=5),"","L=アンカー体長+0.5")</f>
        <v/>
      </c>
      <c r="J96" s="16" t="str">
        <f>IF(OR(D73=0,D77="　",1*MID(D80,1,2)&lt;=2,1*MID(D80,1,2)=5),"","m")</f>
        <v/>
      </c>
      <c r="K96" s="30" t="str">
        <f>IF(OR(D73=0,D77="　",1*MID(D80,1,2)&lt;=2,1*MID(D80,1,2)=5),"",D83+0.5)</f>
        <v/>
      </c>
      <c r="L96" s="68" t="str">
        <f>IFERROR(D76*K96,"")</f>
        <v/>
      </c>
    </row>
    <row r="97" spans="2:12" ht="11.1" customHeight="1">
      <c r="F97" s="24">
        <v>25</v>
      </c>
      <c r="G97" s="17" t="str">
        <f>IF(OR(D73=0,D77="　",1*MID(D80,1,2)&lt;=2,1*MID(D80,1,2)=5),"","ﾌﾘｸｼｮﾝﾊﾟｯｶｰ取付加工")</f>
        <v/>
      </c>
      <c r="H97" s="29" t="str">
        <f>IF(OR(D73=0,D77="　",1*MID(D80,1,2)&lt;=2,1*MID(D80,1,2)=5),"","材工")</f>
        <v/>
      </c>
      <c r="I97" s="29" t="str">
        <f>IF(OR(D73=0,D77="　",1*MID(D80,1,2)&lt;=2,1*MID(D80,1,2)=5),"","n=1")</f>
        <v/>
      </c>
      <c r="J97" s="16" t="str">
        <f>IF(OR(D73=0,D77="　",1*MID(D80,1,2)&lt;=2,1*MID(D80,1,2)=5),"","式")</f>
        <v/>
      </c>
      <c r="K97" s="32" t="str">
        <f>IF(OR(D73=0,D77="　",1*MID(D80,1,2)&lt;=2,1*MID(D80,1,2)=5),"",1)</f>
        <v/>
      </c>
      <c r="L97" s="70" t="str">
        <f>IFERROR(D76*K97,"")</f>
        <v/>
      </c>
    </row>
    <row r="98" spans="2:12" ht="11.1" customHeight="1">
      <c r="F98" s="24">
        <v>26</v>
      </c>
      <c r="G98" s="17" t="str">
        <f>IF(OR(D73=0,D77="　",1*MID(D80,1,2)=0,1*MID(D80,1,2)=2,1*MID(D80,1,2)=3,1*MID(D80,1,2)=4),"","試験ﾊﾟｯｶｰ水注入ﾎｰｽ")</f>
        <v/>
      </c>
      <c r="H98" s="38" t="str">
        <f>IF(OR(D73=0,D77="　",1*MID(D80,1,2)=0,1*MID(D80,1,2)=2,1*MID(D80,1,2)=3,1*MID(D80,1,2)=4),"","φ4/6、ナイロン")</f>
        <v/>
      </c>
      <c r="I98" s="38" t="str">
        <f>IF(OR(D73=0,D77="　",1*MID(D80,1,2)=0,1*MID(D80,1,2)=2,1*MID(D80,1,2)=3,1*MID(D80,1,2)=4),"","L=自由長+緊張部長")</f>
        <v/>
      </c>
      <c r="J98" s="79" t="str">
        <f>IF(OR(D73=0,D77="　",1*MID(D80,1,2)=0,1*MID(D80,1,2)=2,1*MID(D80,1,2)=3,1*MID(D80,1,2)=4),"","m")</f>
        <v/>
      </c>
      <c r="K98" s="80" t="str">
        <f>IF(OR(D73=0,D77="　",1*MID(D80,1,2)=0,1*MID(D80,1,2)=2,1*MID(D80,1,2)=3,1*MID(D80,1,2)=4),"",D87+D88)</f>
        <v/>
      </c>
      <c r="L98" s="81" t="str">
        <f>IFERROR(D76*K98,"")</f>
        <v/>
      </c>
    </row>
    <row r="99" spans="2:12" ht="11.1" customHeight="1">
      <c r="F99" s="24">
        <v>27</v>
      </c>
      <c r="G99" s="17" t="str">
        <f>IF(OR(D73=0,D77="　",1*MID(D80,1,2)=0,1*MID(D80,1,2)=2,1*MID(D80,1,2)=3,1*MID(D80,1,2)=4),"","引抜試験パッカー")</f>
        <v/>
      </c>
      <c r="H99" s="38" t="str" cm="1">
        <f t="array" ref="H99">IF(OR(D73=0,D77="　",1*MID(D80,1,2)=0,1*MID(D80,1,2)=2,1*MID(D80,1,2)=3,1*MID(D80,1,2)=4),"",_xlfn.SWITCH(D84,90,"PU90",115,"PU115",135,"PU135",146,"PU146",165,"PU165")&amp;"、3層構造(鋼管･ゴム･布)")</f>
        <v/>
      </c>
      <c r="I99" s="38" t="str">
        <f>IF(OR(D73=0,D77="　",1*MID(D80,1,2)=0,1*MID(D80,1,2)=2,1*MID(D80,1,2)=3,1*MID(D80,1,2)=4),"","n=1")</f>
        <v/>
      </c>
      <c r="J99" s="79" t="str">
        <f>IF(OR(D73=0,D77="　",1*MID(D80,1,2)=0,1*MID(D80,1,2)=2,1*MID(D80,1,2)=3,1*MID(D80,1,2)=4),"","式")</f>
        <v/>
      </c>
      <c r="K99" s="32" t="str" cm="1">
        <f t="array" ref="K99">IF(OR(D73=0,D77="　",1*MID(D80,1,2)=0,1*MID(D80,1,2)=2,1*MID(D80,1,2)=3,1*MID(D80,1,2)=4),"",_xlfn.IFS(OR(1*MID(D80,1,2)=1,1*MID(D80,1,2)&gt;=5),1))</f>
        <v/>
      </c>
      <c r="L99" s="68" t="str">
        <f>IFERROR(D76*K99,"")</f>
        <v/>
      </c>
    </row>
    <row r="100" spans="2:12" ht="11.1" customHeight="1">
      <c r="F100" s="24">
        <v>28</v>
      </c>
      <c r="G100" s="17" t="str">
        <f>IF(OR(D73=0,D77="　",1*MID(D80,1,2)=0,1*MID(D80,1,2)=2,1*MID(D80,1,2)=3,1*MID(D80,1,2)=4),"","引抜試験パッカー取付加工")</f>
        <v/>
      </c>
      <c r="H100" s="38" t="str">
        <f>IF(OR(D73=0,D77="　",1*MID(D80,1,2)=0,1*MID(D80,1,2)=2,1*MID(D80,1,2)=3,1*MID(D80,1,2)=4),"","材工")</f>
        <v/>
      </c>
      <c r="I100" s="38" t="str">
        <f>IF(OR(D73=0,D77="　",1*MID(D80,1,2)=0,1*MID(D80,1,2)=2,1*MID(D80,1,2)=3,1*MID(D80,1,2)=4),"","n=1")</f>
        <v/>
      </c>
      <c r="J100" s="79" t="str" cm="1">
        <f t="array" ref="J100">IF(OR(D73=0,D77="　",1*MID(D80,1,2)=0,1*MID(D80,1,2)=2,1*MID(D80,1,2)=3,1*MID(D80,1,2)=4),"",_xlfn.IFS(OR(1*MID(D80,1,2)=1,1*MID(D80,1,2)&gt;=5),"式"))</f>
        <v/>
      </c>
      <c r="K100" s="32" t="str" cm="1">
        <f t="array" ref="K100">IF(OR(D73=0,D77="　",1*MID(D80,1,2)=0,1*MID(D80,1,2)=2,1*MID(D80,1,2)=3,1*MID(D80,1,2)=4),"",_xlfn.IFS(OR(1*MID(D80,1,2)=1,1*MID(D80,1,2)&gt;=5),1))</f>
        <v/>
      </c>
      <c r="L100" s="68" t="str">
        <f>IFERROR(D76*K100,"")</f>
        <v/>
      </c>
    </row>
    <row r="101" spans="2:12" ht="11.1" customHeight="1">
      <c r="F101" s="24">
        <v>29</v>
      </c>
      <c r="G101" s="17" t="str">
        <f>IF(OR(D73=0,D77="　",1*MID(D80,1,2)=0,1*MID(D80,1,2)=2,1*MID(D80,1,2)=3,1*MID(D80,1,2)=4),"","自由長洗浄ﾎｰｽ")</f>
        <v/>
      </c>
      <c r="H101" s="38" t="str">
        <f>IF(OR(D73=0,D77="　",1*MID(D80,1,2)=0,1*MID(D80,1,2)=2,1*MID(D80,1,2)=3,1*MID(D80,1,2)=4),"","φ16/20、ポリエチレン")</f>
        <v/>
      </c>
      <c r="I101" s="38" t="str">
        <f>IF(OR(D73=0,D77="　",1*MID(D80,1,2)=0,1*MID(D80,1,2)=2,1*MID(D80,1,2)=3,1*MID(D80,1,2)=4),"","L=自由長+0.5")</f>
        <v/>
      </c>
      <c r="J101" s="79" t="str">
        <f>IF(OR(D73=0,D77="　",1*MID(D80,1,2)=0,1*MID(D80,1,2)=2,1*MID(D80,1,2)=3,1*MID(D80,1,2)=4),"","m")</f>
        <v/>
      </c>
      <c r="K101" s="32" t="str">
        <f>IF(OR(D73=0,D77="　",1*MID(D80,1,2)=0,1*MID(D80,1,2)=2,1*MID(D80,1,2)=3,1*MID(D80,1,2)=4),"",D87+0.5)</f>
        <v/>
      </c>
      <c r="L101" s="81" t="str">
        <f>IFERROR(D76*K101,"")</f>
        <v/>
      </c>
    </row>
    <row r="102" spans="2:12" ht="11.1" customHeight="1">
      <c r="D102" s="1" t="s">
        <v>9</v>
      </c>
      <c r="F102" s="56">
        <v>30</v>
      </c>
      <c r="G102" s="82" t="str">
        <f>IF(OR(D73=0,D77="　",1*MID(D80,1,2)&lt;=2,1*MID(D80,1,2)=5,MID(D102,6,2)&lt;&gt;"あり"),"","確認ホース")</f>
        <v/>
      </c>
      <c r="H102" s="83" t="str">
        <f>IF(OR(D73=0,D77="　",1*MID(D80,1,2)&lt;=2,1*MID(D80,1,2)=5,MID(D102,6,2)&lt;&gt;"あり"),"","φ17、ポリエチレン")</f>
        <v/>
      </c>
      <c r="I102" s="83"/>
      <c r="J102" s="84" t="str">
        <f>IF(OR(D73=0,D77="　",1*MID(D80,1,2)&lt;=2,1*MID(D80,1,2)=5,MID(D102,6,2)&lt;&gt;"あり"),"","m")</f>
        <v/>
      </c>
      <c r="K102" s="85" t="str">
        <f>IF(OR(D72=0,D77="　",1*MID(D80,1,2)&lt;=2,1*MID(D80,1,2)=5,MID(D102,6,2)&lt;&gt;"あり"),"",0.5+MROUND(D87+D89,0.1))</f>
        <v/>
      </c>
      <c r="L102" s="86" t="str">
        <f>IFERROR(D76*K102,"")</f>
        <v/>
      </c>
    </row>
    <row r="104" spans="2:12" ht="11.1" customHeight="1">
      <c r="B104" s="19" t="s">
        <v>1</v>
      </c>
      <c r="D104" s="4"/>
      <c r="G104" s="73" t="s">
        <v>39</v>
      </c>
    </row>
    <row r="105" spans="2:12" ht="11.1" customHeight="1">
      <c r="G105" s="99">
        <f>D106</f>
        <v>4</v>
      </c>
      <c r="H105" s="55" t="str">
        <f>IF(D107=0,"",D108&amp;" "&amp;D111&amp; "："&amp;TEXT(D124,"L=##0.00")&amp;"m"&amp;TEXT(D122,",L1=##0.00")&amp;"m"&amp;TEXT(D121,",Lf=##0.00")&amp;"m"&amp;TEXT(D117,",LA=##0.00")&amp;"m"&amp;TEXT(D123,",L2=##0.00")&amp;"m")</f>
        <v>(4)1列目：4段/4段 EHD5-2H：L=8.20m,L1=1.00m,Lf=4.00m,LA=3.00m,L2=0.20m</v>
      </c>
      <c r="I105" s="55"/>
      <c r="J105" s="18"/>
    </row>
    <row r="106" spans="2:12" ht="11.1" customHeight="1">
      <c r="B106" s="13" t="s">
        <v>2</v>
      </c>
      <c r="C106" s="3" t="s">
        <v>3</v>
      </c>
      <c r="D106" s="98">
        <f>1+(ROW()-ROW($D$4))/34</f>
        <v>4</v>
      </c>
      <c r="F106" s="20"/>
      <c r="G106" s="21" t="s">
        <v>21</v>
      </c>
      <c r="H106" s="22" t="s">
        <v>22</v>
      </c>
      <c r="I106" s="22" t="s">
        <v>38</v>
      </c>
      <c r="J106" s="23" t="s">
        <v>23</v>
      </c>
      <c r="K106" s="22" t="s">
        <v>24</v>
      </c>
      <c r="L106" s="3" t="s">
        <v>4</v>
      </c>
    </row>
    <row r="107" spans="2:12" ht="11.1" customHeight="1">
      <c r="B107" s="28" t="s">
        <v>25</v>
      </c>
      <c r="C107" s="5" t="s">
        <v>26</v>
      </c>
      <c r="D107" s="6">
        <v>1</v>
      </c>
      <c r="F107" s="24">
        <v>1</v>
      </c>
      <c r="G107" s="25" t="str">
        <f>IF(OR(D107=0,D111="　"),"","硅砂付着ECFﾃﾝﾄﾞﾝ")</f>
        <v>硅砂付着ECFﾃﾝﾄﾞﾝ</v>
      </c>
      <c r="H107" s="26" t="str">
        <f>IF(OR(D107=0,D111="　"),"",D111&amp;" ("&amp;MID(D111,6,FIND("H",D111,6)-6)&amp;IF(MID(D111,4,1)="5","φ12.7","φ15.2")&amp;")")</f>
        <v>EHD5-2H (2φ12.7)</v>
      </c>
      <c r="I107" s="57" t="str">
        <f>IF(OR(D107=0,D111="　"),"","W=テンドン長×PC鋼より線本数×"&amp;IF(MID(D111,4,1)="5","0.774","1.101")&amp;"kg/m")</f>
        <v>W=テンドン長×PC鋼より線本数×0.774kg/m</v>
      </c>
      <c r="J107" s="14" t="str">
        <f>IF(OR(D107=0,D111="　"),"","kg")</f>
        <v>kg</v>
      </c>
      <c r="K107" s="27">
        <f>IF(OR(D107=0,D111="　"),"",MROUND(D124*MID(D111,6,FIND("H",D111,6)-6)*IF(MID(D111,4,1)="5","0.774","1.101"),0.01))</f>
        <v>12.69</v>
      </c>
      <c r="L107" s="15">
        <f>IFERROR(D110*K107,"")</f>
        <v>12.69</v>
      </c>
    </row>
    <row r="108" spans="2:12" ht="11.1" customHeight="1">
      <c r="B108" s="31" t="s">
        <v>45</v>
      </c>
      <c r="C108" s="71" t="s">
        <v>6</v>
      </c>
      <c r="D108" s="74" t="s">
        <v>110</v>
      </c>
      <c r="F108" s="24">
        <v>2</v>
      </c>
      <c r="G108" s="17" t="str">
        <f>IF(OR(D107=0,D111="　"),"","アンカー工場加工")</f>
        <v>アンカー工場加工</v>
      </c>
      <c r="H108" s="29"/>
      <c r="I108" s="46" t="str">
        <f>IF(OR(D107=0,D111="　"),"","L=テンドン長")</f>
        <v>L=テンドン長</v>
      </c>
      <c r="J108" s="16" t="str">
        <f>IF(OR(D107=0,D111="　"),"","m")</f>
        <v>m</v>
      </c>
      <c r="K108" s="30">
        <f>IF(OR(D107=0,D111="　"),"",MROUND(D124,0.1))</f>
        <v>8.2000000000000011</v>
      </c>
      <c r="L108" s="67">
        <f>IFERROR(D110*K108,"")</f>
        <v>8.2000000000000011</v>
      </c>
    </row>
    <row r="109" spans="2:12" ht="11.1" customHeight="1">
      <c r="B109" s="34" t="s">
        <v>7</v>
      </c>
      <c r="C109" s="49" t="s">
        <v>6</v>
      </c>
      <c r="D109" s="2" t="s">
        <v>34</v>
      </c>
      <c r="F109" s="24">
        <v>3</v>
      </c>
      <c r="G109" s="17" t="str">
        <f>IF(OR(D107=0,D111="　",1*MID(D114,1,2)=1,1*MID(D114,1,2)&gt;=5),"","頭部キャップ")</f>
        <v>頭部キャップ</v>
      </c>
      <c r="H109" s="29" t="str" cm="1">
        <f t="array" ref="H109">IF(OR(D107=0,D111="　",1*MID(D114,1,2)=1,1*MID(D114,1,2)&gt;=5),"",IF(MID(D111,4,1)="5",_xlfn.SWITCH(1*MID(D111,6,FIND("H",D111,6)-6),1,"S",2,"S",3,"S",4,"S",5,"M",6,"M",7,"M",8,"L",9,"L",10,"L",11,"L",12,"L"),_xlfn.SWITCH(1*MID(D111,6,FIND("H",D111,6)-6),1,"S",2,"S",3,"M",4,"M",5,"L",6,"L",7,"L",8,"LL",9,"LL",10,"LL",11,"LL",12,"LL",13,"LL",14,"LL",15,"3L",16,"3L",17,"3L",18,"3L",19,"3L"))&amp;"型"&amp;MID(D112,IF(MID(D112,1,1)="G",4,1),10)&amp;IF(OR(MID(D112,1,2)="透明",MID(D112,1,2)="5窓"),"、PC樹脂","")&amp;IF(MID(D112,4,2)="鋼製","、SS400相当、HDZT77めっき","、ｱﾙﾐAC4C相当"))&amp;_xlfn.IFS(OR(D107=0,D111="　",MID(D109,1,3)="防食Ⅱ"),"",MID(D109,5,2)="塩害","、ﾀｹｺｰﾄ処理",MID(D109,5,2)="酸性","、重防食処理")</f>
        <v>S型透明ｷｬｯﾌﾟ、PC樹脂、ｱﾙﾐAC4C相当</v>
      </c>
      <c r="I109" s="52" t="str">
        <f>IF(OR(D107=0,D111="　",1*MID(D114,1,2)=1,1*MID(D114,1,2)&gt;=5),"","n=1")</f>
        <v>n=1</v>
      </c>
      <c r="J109" s="16" t="str">
        <f>IF(OR(D107=0,D111="　",1*MID(D114,1,2)=1,1*MID(D114,1,2)&gt;=5),"","個")</f>
        <v>個</v>
      </c>
      <c r="K109" s="32">
        <f>IF(OR(D107=0,D111="　",1*MID(D114,1,2)=1,1*MID(D114,1,2)&gt;=5),"",1)</f>
        <v>1</v>
      </c>
      <c r="L109" s="68">
        <f>IFERROR(D110*K109,"")</f>
        <v>1</v>
      </c>
    </row>
    <row r="110" spans="2:12" ht="11.1" customHeight="1">
      <c r="B110" s="31" t="s">
        <v>27</v>
      </c>
      <c r="C110" s="10" t="s">
        <v>5</v>
      </c>
      <c r="D110" s="75">
        <v>1</v>
      </c>
      <c r="F110" s="24">
        <v>4</v>
      </c>
      <c r="G110" s="17" t="str">
        <f>IF(OR(D107=0,D111="　",1*MID(D114,1,2)=1,1*MID(D114,1,2)&gt;=5),"","アンカーヘッド")</f>
        <v>アンカーヘッド</v>
      </c>
      <c r="H110" s="29" t="str" cm="1">
        <f t="array" ref="H110">IF(OR(D107=0,D111="　",1*MID(D114,1,2)=1,1*MID(D114,1,2)&gt;=5),"",IF(MID(D111,4,1)="5","G5"&amp;_xlfn.SWITCH(1*MID(D111,6,FIND("H",D111,6)-6),1,"01",2,"02",3,"03",4,"04",5,"07",6,"07",7,"07",8,"09",9,"09",10,"12",11,"12",12,"12"),"G6"&amp;_xlfn.SWITCH(1*MID(D111,6,FIND("H",D111,6)-6),1,"01",2,"02",3,"03",4,"04",5,"07",6,"07",7,"07",8,"09",9,"09",10,"12",11,"12",12,"12",13,"14",14,"14",15,"19",16,"19",17,"19",18,"19",19,"19"))&amp;"、S45C相当")&amp;IF(OR(D107=0,D111="　",MID(D112,1,3)="ｱﾙﾐ",1*MID(D114,1,2)=1,1*MID(D114,1,2)&gt;=5),"","、無電解Niめっき")</f>
        <v>G502、S45C相当、無電解Niめっき</v>
      </c>
      <c r="I110" s="52" t="str">
        <f>IF(OR(D107=0,D111="　",1*MID(D114,1,2)=1,1*MID(D114,1,2)&gt;=5),"","n=1")</f>
        <v>n=1</v>
      </c>
      <c r="J110" s="16" t="str">
        <f>IF(OR(D107=0,D111="　",1*MID(D114,1,2)=1,1*MID(D114,1,2)&gt;=5),"","個")</f>
        <v>個</v>
      </c>
      <c r="K110" s="32">
        <f>IF(OR(D107=0,D111="　",1*MID(D114,1,2)=1,1*MID(D114,1,2)&gt;=5),"",1)</f>
        <v>1</v>
      </c>
      <c r="L110" s="68">
        <f>IFERROR(D110*K110,"")</f>
        <v>1</v>
      </c>
    </row>
    <row r="111" spans="2:12" ht="11.1" customHeight="1">
      <c r="B111" s="33" t="s">
        <v>28</v>
      </c>
      <c r="C111" s="71" t="s">
        <v>6</v>
      </c>
      <c r="D111" s="7" t="s">
        <v>115</v>
      </c>
      <c r="F111" s="24">
        <v>5</v>
      </c>
      <c r="G111" s="17" t="str">
        <f>IF(OR(D107=0,D111="　",1*MID(D114,1,2)=1,1*MID(D114,1,2)&gt;=5),"","ナット")</f>
        <v>ナット</v>
      </c>
      <c r="H111" s="29" t="str" cm="1">
        <f t="array" ref="H111">IF(OR(D107=0,D111="　",1*MID(D114,1,2)=1,1*MID(D114,1,2)&gt;=5),"",IF(MID(D111,4,1)="5","G5"&amp;_xlfn.SWITCH(1*MID(D111,6,FIND("H",D111,6)-6),1,"01",2,"02",3,"03",4,"04",5,"07",6,"07",7,"07",8,"09",9,"09",10,"12",11,"12",12,"12"),"G6"&amp;_xlfn.SWITCH(1*MID(D111,6,FIND("H",D111,6)-6),1,"01",2,"02",3,"03",4,"04",5,"07",6,"07",7,"07",8,"09",9,"09",10,"12",11,"12",12,"12",13,"14",14,"14",15,"19",16,"19",17,"19",18,"19",19,"19"))&amp;"、S45C相当")&amp;IF(OR(D107=0,D111="　",MID(D112,1,3)="ｱﾙﾐ",1*MID(D114,1,2)=1,1*MID(D114,1,2)&gt;=5),"","、無電解Niめっき")</f>
        <v>G502、S45C相当、無電解Niめっき</v>
      </c>
      <c r="I111" s="52" t="str">
        <f>IF(OR(D107=0,D111="　",1*MID(D114,1,2)=1,1*MID(D114,1,2)&gt;=5),"","n=1")</f>
        <v>n=1</v>
      </c>
      <c r="J111" s="16" t="str">
        <f>IF(OR(D107=0,D111="　",1*MID(D114,1,2)=1,1*MID(D114,1,2)&gt;=5),"","個")</f>
        <v>個</v>
      </c>
      <c r="K111" s="32">
        <f>IF(OR(D107=0,D111="　",1*MID(D114,1,2)=1,1*MID(D114,1,2)&gt;=5),"",1)</f>
        <v>1</v>
      </c>
      <c r="L111" s="68">
        <f>IFERROR(D110*K111,"")</f>
        <v>1</v>
      </c>
    </row>
    <row r="112" spans="2:12" ht="11.1" customHeight="1">
      <c r="B112" s="35" t="s">
        <v>29</v>
      </c>
      <c r="C112" s="49" t="s">
        <v>6</v>
      </c>
      <c r="D112" s="2" t="s">
        <v>35</v>
      </c>
      <c r="F112" s="24">
        <v>6</v>
      </c>
      <c r="G112" s="17" t="str">
        <f>IF(OR(D107=0,D111="　",1*MID(D114,1,2)=1,1*MID(D114,1,2)&gt;=5),"","くさび")</f>
        <v>くさび</v>
      </c>
      <c r="H112" s="29" t="str">
        <f>IF(OR(D107=0,D111="　",1*MID(D114,1,2)=1,1*MID(D114,1,2)&gt;=5),"",IF(1*MID(D111,4,1)=5,"ECF12.7","ECF15.2")&amp;"、SCM415相当")&amp;IF(OR(D107=0,D111="　",MID(D112,1,3)="ｱﾙﾐ",1*MID(D114,1,2)=1,1*MID(D114,1,2)&gt;=5),"","、無電解Niめっき")</f>
        <v>ECF12.7、SCM415相当、無電解Niめっき</v>
      </c>
      <c r="I112" s="52" t="str">
        <f>IF(OR(D107=0,D111="　",1*MID(D114,1,2)=1,1*MID(D114,1,2)&gt;=5),"","n=1")</f>
        <v>n=1</v>
      </c>
      <c r="J112" s="16" t="str">
        <f>IF(OR(D107=0,D111="　",1*MID(D114,1,2)=1,1*MID(D114,1,2)&gt;=5),"","式")</f>
        <v>式</v>
      </c>
      <c r="K112" s="32">
        <f>IF(OR(D107=0,D111="　",1*MID(D114,1,2)=1,1*MID(D114,1,2)&gt;=5),"",1)</f>
        <v>1</v>
      </c>
      <c r="L112" s="68">
        <f>IFERROR(D110*K112,"")</f>
        <v>1</v>
      </c>
    </row>
    <row r="113" spans="2:12" ht="11.1" customHeight="1">
      <c r="B113" s="35" t="s">
        <v>8</v>
      </c>
      <c r="C113" s="49" t="s">
        <v>6</v>
      </c>
      <c r="D113" s="2" t="s">
        <v>36</v>
      </c>
      <c r="F113" s="24">
        <v>7</v>
      </c>
      <c r="G113" s="17" t="str">
        <f>IF(OR(D107=0,D111="　",1*MID(D114,1,2)=1,1*MID(D114,1,2)&gt;=5),"","押え板")</f>
        <v>押え板</v>
      </c>
      <c r="H113" s="29" t="str" cm="1">
        <f t="array" ref="H113">IF(OR(D107=0,D111="　",1*MID(D114,1,2)=1,1*MID(D114,1,2)&gt;=5),"",IF(MID(D111,4,1)="5","G5"&amp;_xlfn.SWITCH(1*MID(D111,6,FIND("H",D111,6)-6),1,"01",2,"04",3,"03",4,"04",5,"07",6,"07",7,"07",8,"12",9,"12",10,"12",11,"12",12,"12"),"G6"&amp;_xlfn.SWITCH(1*MID(D111,6,FIND("H",D111,6)-6),1,"01",2,"02",3,"03",4,"04",5,"07",6,"07",7,"07",8,"12",9,"12",10,"12",11,"12",12,"12",13,"14",14,"14",15,"19",16,"19",17,"19",18,"19",19,"19"))&amp;"、SS400相当")&amp;IF(OR(D107=0,D111="　",1*MID(D114,1,2)=1,1*MID(D114,1,2)&gt;=5),"","、"&amp;_xlfn.IFS(MID(D109,1,3)="防食Ⅱ","HDZT77めっき",MID(D109,5,2)="塩害","ｱﾙﾐﾅｲｽﾞ処理",MID(D109,5,2)="酸性","重防食処理"))</f>
        <v>G504、SS400相当、HDZT77めっき</v>
      </c>
      <c r="I113" s="52" t="str">
        <f>IF(OR(D107=0,D111="　",1*MID(D114,1,2)=1,1*MID(D114,1,2)&gt;=5),"","n=1")</f>
        <v>n=1</v>
      </c>
      <c r="J113" s="16" t="str">
        <f>IF(OR(D107=0,D111="　",1*MID(D114,1,2)=1,1*MID(D114,1,2)&gt;=5),"","枚")</f>
        <v>枚</v>
      </c>
      <c r="K113" s="32">
        <f>IF(OR(D107=0,D111="　",1*MID(D114,1,2)=1,1*MID(D114,1,2)&gt;=5),"",1)</f>
        <v>1</v>
      </c>
      <c r="L113" s="68">
        <f>IFERROR(D110*K113,"")</f>
        <v>1</v>
      </c>
    </row>
    <row r="114" spans="2:12" ht="11.1" customHeight="1">
      <c r="B114" s="36" t="s">
        <v>87</v>
      </c>
      <c r="C114" s="72" t="s">
        <v>6</v>
      </c>
      <c r="D114" s="8" t="s">
        <v>42</v>
      </c>
      <c r="F114" s="24">
        <v>8</v>
      </c>
      <c r="G114" s="17" t="str">
        <f>IF(OR(D107=0,D111="　"),"",IF(OR(1*MID(D114,1,2)=1,1*MID(D114,1,2)&gt;=5,MID(D113,1,3)&lt;&gt;"のり面"),"","管付")&amp;"支圧板")</f>
        <v>管付支圧板</v>
      </c>
      <c r="H114" s="29" t="str" cm="1">
        <f t="array" ref="H114">IF(OR(D107=0,D111="　"),"","PL"&amp;IF(OR(1*MID(D114,1,2)=1,1*MID(D114,1,2)&gt;=5,MID(D113,1,3)&lt;&gt;"のり面"),"","P")&amp;IF(MID(D111,4,1)="5","5-"&amp;_xlfn.SWITCH(1*MID(D111,6,FIND("H",D111,6)-6),1,"1",2,"2",3,"3",4,"4",5,"5",6,"6",7,"7",8,"9",9,"9",10,"10",11,"11",12,"12"),"6-"&amp;_xlfn.SWITCH(1*MID(D111,6,FIND("H",D111,6)-6),1,"1",2,"2",3,"3",4,"4",5,"6",6,"6",7,"7",8,"8",9,"9",10,"10",11,"11",12,"12",13,"14",14,"14",15,"16",16,"16",17,"17",18,"18",19,"19"))&amp;"、SS400相当")&amp;IF(OR(D107=0,D111="　"),"","、"&amp;_xlfn.IFS(MID(D109,1,3)="防食Ⅱ","HDZT77めっき",MID(D109,5,2)="塩害","ｱﾙﾐﾅｲｽﾞ処理",MID(D109,5,2)="酸性","重防食処理"))</f>
        <v>PLP5-2、SS400相当、HDZT77めっき</v>
      </c>
      <c r="I114" s="52" t="str">
        <f>IF(OR(D107=0,D111="　"),"","n=1")</f>
        <v>n=1</v>
      </c>
      <c r="J114" s="16" t="str">
        <f>IF(OR(D107=0,D111="　"),"","枚")</f>
        <v>枚</v>
      </c>
      <c r="K114" s="32">
        <f>IF(OR(D107=0,D111="　"),"",1)</f>
        <v>1</v>
      </c>
      <c r="L114" s="68">
        <f>IFERROR(D110*K114,"")</f>
        <v>1</v>
      </c>
    </row>
    <row r="115" spans="2:12" ht="11.1" customHeight="1">
      <c r="B115" s="37" t="str" cm="1">
        <f t="array" ref="B115">"頭部自由長"&amp;_xlfn.IFS(MID(D113,1,2)="なし","",MID(D113,1,3)="受圧体","(受圧体)",MID(D113,1,3)="のり面","(角度台座＋受圧体)",MID(D113,1,3)="構造物","(壁面台座)",MID(D113,1,3)="土留め","(台座+腹起し)",MID(D113,1,3)="個別台","(個別台座+腹起し)")&amp;"　Lfh"</f>
        <v>頭部自由長(角度台座＋受圧体)　Lfh</v>
      </c>
      <c r="C115" s="9" t="s">
        <v>10</v>
      </c>
      <c r="D115" s="75">
        <v>0.6</v>
      </c>
      <c r="F115" s="24">
        <v>9</v>
      </c>
      <c r="G115" s="17" t="str">
        <f>IF(OR(D107=0,D111="　",1*MID(D114,1,2)=1,1*MID(D114,1,2)&gt;=5),"","止水ゴム")</f>
        <v>止水ゴム</v>
      </c>
      <c r="H115" s="29" t="str">
        <f>IF(OR(D107=0,D111="　",1*MID(D114,1,2)=1,1*MID(D114,1,2)&gt;=5),"","G"&amp;MID(D111,4,4)&amp;"、NBR45相当")</f>
        <v>G5-2H、NBR45相当</v>
      </c>
      <c r="I115" s="52" t="str">
        <f>IF(OR(D107=0,D111="　",1*MID(D114,1,2)=1,1*MID(D114,1,2)&gt;=5),"","n=1")</f>
        <v>n=1</v>
      </c>
      <c r="J115" s="16" t="str">
        <f>IF(OR(D107=0,D111="　",1*MID(D114,1,2)=1,1*MID(D114,1,2)&gt;=5),"","個")</f>
        <v>個</v>
      </c>
      <c r="K115" s="32">
        <f>IF(OR(D107=0,D111="　",1*MID(D114,1,2)=1,1*MID(D114,1,2)&gt;=5),"",1)</f>
        <v>1</v>
      </c>
      <c r="L115" s="68">
        <f>IFERROR(D110*K115,"")</f>
        <v>1</v>
      </c>
    </row>
    <row r="116" spans="2:12" ht="11.1" customHeight="1">
      <c r="B116" s="31" t="s">
        <v>11</v>
      </c>
      <c r="C116" s="10" t="s">
        <v>10</v>
      </c>
      <c r="D116" s="75">
        <v>3.4</v>
      </c>
      <c r="F116" s="24">
        <v>10</v>
      </c>
      <c r="G116" s="17" t="str" cm="1">
        <f t="array" ref="G116">IF(OR(D107=0,D111="　",1*MID(D114,1,2)=1,1*MID(D114,1,2)&gt;=5),"",_xlfn.IFS(MID(D112,1,3)="ｱﾙﾐ","頭部防錆油",MID(D112,1,3)&lt;&gt;"ｱﾙﾐ","余長キャップ"))</f>
        <v>余長キャップ</v>
      </c>
      <c r="H116" s="29" t="str" cm="1">
        <f t="array" ref="H116">_xlfn.IFS(OR(D107=0,D111="　",1*MID(D114,1,2)=1,1*MID(D114,1,2)&gt;=5),"",MID(D112,1,3)="ｱﾙﾐ","PCコートC",MID(D112,1,3)&lt;&gt;"ｱﾙﾐ","TC"&amp;MID(D111,4,1)&amp;"、高密度ポリエチレン")</f>
        <v>TC5、高密度ポリエチレン</v>
      </c>
      <c r="I116" s="52" t="str" cm="1">
        <f t="array" ref="I116">_xlfn.IFS(OR(D107=0,D111="　",1*MID(D114,1,2)=1,1*MID(D114,1,2)&gt;=5),"",MID(D112,1,3)="ｱﾙﾐ","W="&amp;IF(MID(D111,4,1)="5",_xlfn.SWITCH(1*MID(LEFT(D111, LEN(D111)-1),6,2),1,1.9,2,1.3,3,1.3,4,1.3,5,1.6,6,1.6,7,1.6,8,3.1,9,3.1,10,3.1,11,3.1,12,3.1),"G6"&amp;_xlfn.SWITCH(1*MID(LEFT(D111, LEN(D111)-1),6,2),1,1.8,2,1.3,3,1.8,4,1.8,5,3.3,6,3.3,7,3.3,8,9.9,9,9.9,10,9.9,11,9.9,12,9.9,13,9.9,14,9.9)),MID(D112,1,3)&lt;&gt;"ｱﾙﾐ","n=1")</f>
        <v>n=1</v>
      </c>
      <c r="J116" s="16" t="str" cm="1">
        <f t="array" ref="J116">_xlfn.IFS(OR(D107=0,D111="　",1*MID(D114,1,2)=1,1*MID(D114,1,2)&gt;=5),"",MID(D112,1,3)="ｱﾙﾐ","kg",MID(D112,1,3)&lt;&gt;"ｱﾙﾐ","式")</f>
        <v>式</v>
      </c>
      <c r="K116" s="80" cm="1">
        <f t="array" ref="K116">_xlfn.IFS(OR(D107=0,D111="　",1*MID(D114,1,2)=1,1*MID(D114,1,2)&gt;=5),"",MID(D112,1,3)="ｱﾙﾐ",_xlfn.SWITCH(MID(D111,4,1),"5",_xlfn.SWITCH(1*MID(D111,6,FIND("H",D111,6)-6),1,1.9,2,1.3,3,1.3,4,1.3,5,1.6,6,1.6,7,1.6,8,3.1,9,3.1,10,3.1,11,3.1,12,3.1),"6",_xlfn.SWITCH(1*MID(D111,6,FIND("H",D111,6)-6),1,1.8,2,1.3,3,1.8,4,1.8,5,3.3,6,3.3,7,3.3,8,9.9,9,9.9,10,9.9,11,9.9,12,9.9,13,9.9,14,9.9)),MID(D112,1,3)&lt;&gt;"ｱﾙﾐ",1)</f>
        <v>1</v>
      </c>
      <c r="L116" s="68">
        <f>IFERROR(D110*K116,"")</f>
        <v>1</v>
      </c>
    </row>
    <row r="117" spans="2:12" ht="11.1" customHeight="1">
      <c r="B117" s="39" t="s">
        <v>18</v>
      </c>
      <c r="C117" s="40" t="s">
        <v>10</v>
      </c>
      <c r="D117" s="75">
        <v>3</v>
      </c>
      <c r="F117" s="24">
        <v>11</v>
      </c>
      <c r="G117" s="17" t="str">
        <f>IF(OR(D107=0,D111="　",1*MID(D114,1,2)=1,1*MID(D114,1,2)&gt;=5),"","配列スペーサ")</f>
        <v>配列スペーサ</v>
      </c>
      <c r="H117" s="29" t="str">
        <f>IF(OR(D107=0,D111="　",1*MID(D114,1,2)=1,1*MID(D114,1,2)&gt;=5),"",IF(MID(D111,4,1)="5","PS5-"&amp;_xlfn.SWITCH(1*MID(D111,6,FIND("H",D111,6)-6),1,"7",2,"2",3,"3",4,"4",5,"7",6,"7",7,"7",8,"12",9,"12",10,"12",11,"12",12,"12"),"PS6-"&amp;_xlfn.SWITCH(1*MID(D111,6,FIND("H",D111,6)-6),1,"7",2,"2",3,"3",4,"4",5,"7",6,"7",7,"7",8,"12",9,"12",10,"12",11,"12",12,"12",13,"14",14,"14",15,"19",16,"19",17,"19",18,"19",19,"19"))&amp;"、ポリエチレン")</f>
        <v>PS5-2、ポリエチレン</v>
      </c>
      <c r="I117" s="52" t="str">
        <f>IF(OR(D107=0,D111="　",1*MID(D114,1,2)=1,1*MID(D114,1,2)&gt;=5),"","n=2")</f>
        <v>n=2</v>
      </c>
      <c r="J117" s="16" t="str">
        <f>IF(OR(D107=0,D111="　",1*MID(D114,1,2)=1,1*MID(D114,1,2)&gt;=5),"","個")</f>
        <v>個</v>
      </c>
      <c r="K117" s="32">
        <f>IF(OR(D107=0,D111="　",1*MID(D114,1,2)=1,1*MID(D114,1,2)&gt;=5),"",2)</f>
        <v>2</v>
      </c>
      <c r="L117" s="68">
        <f>IFERROR(D110*K117,"")</f>
        <v>2</v>
      </c>
    </row>
    <row r="118" spans="2:12" ht="11.1" customHeight="1">
      <c r="B118" s="36" t="s">
        <v>17</v>
      </c>
      <c r="C118" s="11" t="s">
        <v>16</v>
      </c>
      <c r="D118" s="54">
        <v>90</v>
      </c>
      <c r="F118" s="24">
        <v>12</v>
      </c>
      <c r="G118" s="17" t="str">
        <f>IF(OR(D107=0,D111="　"),"","スペーサ")</f>
        <v>スペーサ</v>
      </c>
      <c r="H118" s="29" t="str" cm="1">
        <f t="array" ref="H118">IF(OR(D107=0,D111="　"),"",IF(MID(D111,4,1)="5","S5-"&amp;_xlfn.IFS(1*MID(D111,6,FIND("H",D111,6)-6)&lt;6,"5",1*MID(D111,6,FIND("H",D111,6)-6)&lt;9,"8",1*MID(D111,6,FIND("H",D111,6)-6)&gt;8,"12"),"S6-"&amp;_xlfn.IFS(1*MID(D111,6,FIND("H",D111,6)-6)&lt;4,"3",1*MID(D111,6,FIND("H",D111,6)-6)&lt;7,"6",1*MID(D111,6,FIND("H",D111,6)-6)&lt;10,"9",1*MID(D111,6,FIND("H",D111,6)-6)&lt;13,"12",1*MID(D111,6,FIND("H",D111,6)-6)&lt;15,"14",1*MID(D111,6,FIND("H",D111,6)-6)&lt;20,"19"))&amp;"、ポリプロピレン")</f>
        <v>S5-5、ポリプロピレン</v>
      </c>
      <c r="I118" s="58" t="str">
        <f>IF(OR(D107=0,D111="　"),"","n=mround(アンカー体長－0.4)÷@1.0m, 1.0)")</f>
        <v>n=mround(アンカー体長－0.4)÷@1.0m, 1.0)</v>
      </c>
      <c r="J118" s="16" t="str">
        <f>IF(OR(D107=0,D111="　"),"","個")</f>
        <v>個</v>
      </c>
      <c r="K118" s="38">
        <f>IF(OR(D107=0,D111="　"),"",MROUND((D117-0.4)/1,1))</f>
        <v>3</v>
      </c>
      <c r="L118" s="67">
        <f>IFERROR(D110*K118,"")</f>
        <v>3</v>
      </c>
    </row>
    <row r="119" spans="2:12" ht="11.1" customHeight="1">
      <c r="B119" s="41" t="s">
        <v>37</v>
      </c>
      <c r="C119" s="5" t="s">
        <v>16</v>
      </c>
      <c r="D119" s="66" cm="1">
        <f t="array" ref="D119">IF(OR(D107=0,D111="　"),"",_xlfn.SWITCH(1*MID(D114,1,2),0,_xlfn.SWITCH(1*MID(D111,4,1),5,_xlfn.SWITCH(1*MID(LEFT(D111, LEN(D111)-1),6,2),1,90,2,90,3,90,4,90,5,90,6,115,7,115,8,115,9,135,10,135,11,135,12,135),6,_xlfn.SWITCH(1*MID(LEFT(D111, LEN(D111)-1),6,2),1,90,2,90,3,90,4,115,5,115,6,115,7,135,8,135,9,135,10,146,11,146,12,146,13,165,14,165)),1,_xlfn.SWITCH(1*MID(D111,4,1),5,_xlfn.SWITCH(1*MID(LEFT(D111, LEN(D111)-1),6,2),1,90,2,90,3,90,4,90,5,115,6,115,7,135,8,135,9,135,10,135,11,165,12,165),6,_xlfn.SWITCH(1*MID(LEFT(D111, LEN(D111)-1),6,2),1,90,2,90,3,115,4,115,5,135,6,135,7,135,8,135,9,135,10,165,11,165,12,165,13,165,14,165)),2,_xlfn.SWITCH(1*MID(D111,4,1),5,_xlfn.SWITCH(1*MID(LEFT(D111, LEN(D111)-1),6,2),1,90,2,90,3,115,4,115,5,115,6,115,7,135,8,135,9,146,10,146,11,146,12,146),6,_xlfn.SWITCH(1*MID(LEFT(D111, LEN(D111)-1),6,2),1,90,2,90,3,115,4,115,5,135,6,135,7,146,8,146,9,146,10,165,11,165,12,165,13,216,14,216)),3,_xlfn.SWITCH(1*MID(D111,4,1),5,_xlfn.SWITCH(1*MID(LEFT(D111, LEN(D111)-1),6,2),1,115,2,115,3,115,4,115,5,115,6,135,7,135,8,135,9,146,10,146,11,146,12,146),6,_xlfn.SWITCH(1*MID(LEFT(D111, LEN(D111)-1),6,2),1,115,2,115,3,115,4,135,5,135,6,135,7,146,8,146,9,146,10,165,11,165,12,165,13,216,14,216)),4,_xlfn.SWITCH(1*MID(D111,4,1),5,_xlfn.SWITCH(1*MID(LEFT(D111, LEN(D111)-1),6,2),1,115,2,115,3,115,4,115,5,115,6,135,7,135,8,135,9,146,10,146,11,146,12,146),6,_xlfn.SWITCH(1*MID(LEFT(D111, LEN(D111)-1),6,2),1,115,2,115,3,115,4,135,5,135,6,135,7,146,8,146,9,146,10,165,11,165,12,165,13,216,14,216)),5,_xlfn.SWITCH(1*MID(D111,4,1),5,_xlfn.SWITCH(1*MID(LEFT(D111, LEN(D111)-1),6,2),1,90,2,90,3,115,4,115,5,115,6,115,7,135,8,135,9,165,10,165,11,165,12,165),6,_xlfn.SWITCH(1*MID(LEFT(D111, LEN(D111)-1),6,2),1,90,2,90,3,115,4,115,5,135,6,135,7,165,8,165,9,165,10,165,11,165,12,165,13,216,14,216)),6,_xlfn.SWITCH(1*MID(D111,4,1),5,_xlfn.SWITCH(1*MID(LEFT(D111, LEN(D111)-1),6,2),1,115,2,115,3,115,4,115,5,115,6,135,7,135,8,135,9,165,10,165,11,165,12,165),6,_xlfn.SWITCH(1*MID(LEFT(D111, LEN(D111)-1),6,2),1,115,2,115,3,115,4,135,5,135,6,135,7,165,8,165,9,165,10,165,11,165,12,165,13,216,14,216)),7,_xlfn.SWITCH(1*MID(D111,4,1),5,_xlfn.SWITCH(1*MID(LEFT(D111, LEN(D111)-1),6,2),1,115,2,115,3,115,4,115,5,115,6,135,7,135,8,135,9,165,10,165,11,165,12,165),6,_xlfn.SWITCH(1*MID(LEFT(D111, LEN(D111)-1),6,2),1,115,2,115,3,115,4,135,5,135,6,135,7,165,8,165,9,165,10,165,11,165,12,165,13,216,14,216))))</f>
        <v>90</v>
      </c>
      <c r="F119" s="24">
        <v>13</v>
      </c>
      <c r="G119" s="17" t="str">
        <f>IF(OR(D107=0,D111="　"),"","ﾊﾟｲﾛｯﾄｷｬｯﾌﾟ")</f>
        <v>ﾊﾟｲﾛｯﾄｷｬｯﾌﾟ</v>
      </c>
      <c r="H119" s="29" t="str" cm="1">
        <f t="array" ref="H119">IF(OR(D107=0,D111="　"),"",IF(MID(D111,4,1)="5","PC5-"&amp;_xlfn.IFS(1*MID(D111,6,FIND("H",D111,6)-6)&lt;5,"4",1*MID(D111,6,FIND("H",D111,6)-6)&lt;8,"7",1*MID(D111,6,FIND("H",D111,6)-6)&lt;10,"9",1*MID(D111,6,FIND("H",D111,6)-6)&gt;9,"12"),"PC6-"&amp;_xlfn.IFS(1*MID(D111,6,FIND("H",D111,6)-6)&lt;4,"3",1*MID(D111,6,FIND("H",D111,6)-6)&lt;8,"7",1*MID(D111,6,FIND("H",D111,6)-6)&lt;13,"12",1*MID(D111,6,FIND("H",D111,6)-6)&lt;15,"14",1*MID(D111,6,FIND("H",D111,6)-6)&lt;20,"19"))&amp;"、ポリプロピレン")</f>
        <v>PC5-4、ポリプロピレン</v>
      </c>
      <c r="I119" s="52" t="str">
        <f>IF(OR(D107=0,D111="　"),"","n=1")</f>
        <v>n=1</v>
      </c>
      <c r="J119" s="16" t="str">
        <f>IF(OR(D107=0,D111="　"),"","個")</f>
        <v>個</v>
      </c>
      <c r="K119" s="32">
        <f>IF(OR(D107=0,D111="　"),"",1)</f>
        <v>1</v>
      </c>
      <c r="L119" s="68">
        <f>IFERROR(D110*K119,"")</f>
        <v>1</v>
      </c>
    </row>
    <row r="120" spans="2:12" ht="11.1" customHeight="1">
      <c r="B120" s="43" t="s">
        <v>30</v>
      </c>
      <c r="C120" s="44" t="s">
        <v>31</v>
      </c>
      <c r="D120" s="59" t="str">
        <f>IF(OR(D107=0,D111="　"),"",IF(D118=D119,"OK","CHECK"))</f>
        <v>OK</v>
      </c>
      <c r="F120" s="24">
        <v>14</v>
      </c>
      <c r="G120" s="17" t="str">
        <f>IF(OR(D107=0,D111="　"),"","結束バンド")</f>
        <v>結束バンド</v>
      </c>
      <c r="H120" s="29" t="str">
        <f>IF(OR(D107=0,D111="　"),"","66ナイロン")</f>
        <v>66ナイロン</v>
      </c>
      <c r="I120" s="58" t="str">
        <f>IF(OR(D107=0,D111="　"),"","n=スペーサ数×2")</f>
        <v>n=スペーサ数×2</v>
      </c>
      <c r="J120" s="16" t="str">
        <f>IF(OR(D107=0,D111="　"),"","本")</f>
        <v>本</v>
      </c>
      <c r="K120" s="38">
        <f>IF(OR(D107=0,D111="　"),"",2*K118)</f>
        <v>6</v>
      </c>
      <c r="L120" s="67">
        <f>IFERROR(D110*K120,"")</f>
        <v>6</v>
      </c>
    </row>
    <row r="121" spans="2:12" ht="11.1" customHeight="1">
      <c r="B121" s="45" t="s">
        <v>12</v>
      </c>
      <c r="C121" s="9" t="s">
        <v>10</v>
      </c>
      <c r="D121" s="60">
        <f>IF(OR(D107=0,D111="　"),"──",SUM(D115:D116))</f>
        <v>4</v>
      </c>
      <c r="F121" s="24">
        <v>15</v>
      </c>
      <c r="G121" s="17" t="str">
        <f>IF(OR(D107=0,D111="　"),"","結束テープ")</f>
        <v>結束テープ</v>
      </c>
      <c r="H121" s="29" t="str">
        <f>IF(OR(D107=0,D111="　"),"","フィラメントテープ")</f>
        <v>フィラメントテープ</v>
      </c>
      <c r="I121" s="58" t="str">
        <f>IF(OR(D107=0,D111="　"),"","L=(自由長+緊張部長)÷@1.0m×テープ係数"&amp;IF(MID(D111,4,1)="5",_xlfn.IFS(1*MID(LEFT(D111, LEN(D111)-1),6,2)&lt;4,"0.8",1*MID(LEFT(D111, LEN(D111)-1),6,2)&lt;7,"1.0",1*MID(LEFT(D111, LEN(D111)-1),6,2)&lt;10,"1.2",1*MID(LEFT(D111, LEN(D111)-1),6,2)&lt;13,"1.4"),_xlfn.IFS(1*MID(LEFT(D111, LEN(D111)-1),6,2)&lt;4,"1.0",1*MID(LEFT(D111, LEN(D111)-1),6,2)&lt;7,"1.2",1*MID(LEFT(D111, LEN(D111)-1),6,2)&lt;10,"1.4",1*MID(LEFT(D111, LEN(D111)-1),6,2)&lt;15,"1.8")))</f>
        <v>L=(自由長+緊張部長)÷@1.0m×テープ係数0.8</v>
      </c>
      <c r="J121" s="16" t="str">
        <f>IF(OR(D107=0,D111="　"),"","m")</f>
        <v>m</v>
      </c>
      <c r="K121" s="42" cm="1">
        <f t="array" ref="K121">IF(OR(D107=0,D111="　"),"",MROUND((SUM(D121,D122))/1*IF(MID(D111,4,1)="5",_xlfn.SWITCH(1*MID(D111,6,FIND("H",D111,6)-6),1,0.8,2,0.8,3,0.8,4,1,5,1,6,1,7,1.2,8,1.2,9,1.2,10,1.4,11,1.4,12,1.4),_xlfn.SWITCH(1*MID(D111,6,FIND("H",D111,6)-6),1,1,2,1,3,1,4,1.2,5,1.2,6,1.2,7,1.4,8,1.4,9,1.4,10,1.8,11,1.8,12,1.8,13,1.8,14,1.8,15,2.5,16,2.5,17,2.5,18,2.5,19,2.5)),0.1))</f>
        <v>4</v>
      </c>
      <c r="L121" s="69">
        <f>IFERROR(D110*K121,"")</f>
        <v>4</v>
      </c>
    </row>
    <row r="122" spans="2:12" ht="11.1" customHeight="1">
      <c r="B122" s="47" t="s">
        <v>13</v>
      </c>
      <c r="C122" s="10" t="s">
        <v>10</v>
      </c>
      <c r="D122" s="61" cm="1">
        <f t="array" ref="D122">IF(OR(D107=0,D111="　"),"──",IF(MID(D111,4,1)="5",_xlfn.IFS(1*MID(LEFT(D111,LEN(D111)-1),6,2)&lt;8,1,1*MID(LEFT(D111,LEN(D111)-1),6,2)&lt;13,1.2),_xlfn.IFS(1*MID(LEFT(D111,LEN(D111)-1),6,2)&lt;6,1,1*MID(LEFT(D111,LEN(D111)-1),6,2)&lt;15,1.2)))</f>
        <v>1</v>
      </c>
      <c r="F122" s="24">
        <v>16</v>
      </c>
      <c r="G122" s="17" t="str">
        <f>IF(OR(D107=0,D111="　",1*MID(D114,1,2)=1,1*MID(D114,1,2)=5),"","注入ホース")</f>
        <v>注入ホース</v>
      </c>
      <c r="H122" s="29" t="str">
        <f>IF(OR(D107=0,D111="　",1*MID(D114,1,2)=1,1*MID(D114,1,2)=5),"","φ16/20、高密度ポリエチレン")</f>
        <v>φ16/20、高密度ポリエチレン</v>
      </c>
      <c r="I122" s="46" t="str">
        <f>IF(OR(D107=0,D111="　",1*MID(D114,1,2)=1,1*MID(D114,1,2)=5),"","L=テンドン長")</f>
        <v>L=テンドン長</v>
      </c>
      <c r="J122" s="16" t="str">
        <f>IF(OR(D107=0,D111="　",1*MID(D114,1,2)=1,1*MID(D114,1,2)=5),"","m")</f>
        <v>m</v>
      </c>
      <c r="K122" s="30">
        <f>IF(OR(D107=0,D111="　",1*MID(D114,1,2)=1,1*MID(D114,1,2)=5),"",MROUND(D124,0.1))</f>
        <v>8.2000000000000011</v>
      </c>
      <c r="L122" s="67">
        <f>IFERROR(D110*K122,"")</f>
        <v>8.2000000000000011</v>
      </c>
    </row>
    <row r="123" spans="2:12" ht="11.1" customHeight="1">
      <c r="B123" s="48" t="s">
        <v>19</v>
      </c>
      <c r="C123" s="10" t="s">
        <v>14</v>
      </c>
      <c r="D123" s="62">
        <f>IF(OR(D107=0,D111="　"),"──",0.2)</f>
        <v>0.2</v>
      </c>
      <c r="F123" s="24">
        <v>17</v>
      </c>
      <c r="G123" s="17" t="str" cm="1">
        <f t="array" ref="G123">_xlfn.IFS(OR(D107=0,D111="　",MID(D113,1,2)="なし",MID(D113,1,3)="受圧体",1*MID(D114,1,2)=1,1*MID(D114,1,2)&gt;=5),"",MID(D113,1,3)="のり面","のり面角度台座",MID(D113,1,3)="構造物","構造物壁面台座",MID(D113,1,3)="土留め","土留め台座",MID(D113,1,3)="個別台","個別台座")</f>
        <v>のり面角度台座</v>
      </c>
      <c r="H123" s="46" t="str" cm="1">
        <f t="array" ref="H123">IF(OR(D107=0,D111="　",G123=""),"",_xlfn.IFS(MID(D113,1,3)="のり面",IF(1*MID(D111,4,1)=5,_xlfn.IFS(1*MID(D111,6,FIND("H",D111,6)-6)&lt;5,"ST140",1*MID(D111,6,FIND("H",D111,6)-6)&lt;8,"ST170",1*MID(D111,6,FIND("H",D111,6)-6)&lt;13,"ST220"),_xlfn.IFS(1*MID(D111,6,FIND("H",D111,6)-6)&lt;4,"ST140",1*MID(D111,6,FIND("H",D111,6)-6)&lt;5,"ST170",1*MID(D111,6,FIND("H",D111,6)-6)&lt;8,"ST220",1*MID(D111,6,FIND("H",D111,6)-6)&lt;20,"非該当"))&amp;"、FCD450相当",OR(MID(D113,1,3)="構造物",MID(D113,1,3)="土留め",MID(D113,1,3)="個別台"),D111&amp;"用"&amp;_xlfn.IFS(MID(D113,1,3)="構造物","",MID(D113,1,3)="土留め",IF(1*MID(D111,4,1)=5,_xlfn.SWITCH(1*MID(D111,6,FIND("H",D111,6)-6),1,"DA110",2,"DA220",3,"DA330",4,"DA440",5,"DA550",6,"DA660",7,"DA770",8,"DA880",9,"DA990",10,"DA1100",11,"DA1210",12,"DA1320"),_xlfn.SWITCH(1*MID(D111,6,FIND("H",D111,6)-6),1,"DA220",2,"DA330",3,"DA550",4,"DA660",5,"DA880",6,"DA990",7,"DA1100",8,"DA1320",9,"DA1410",10,"DA1570",11,"DA1730",12,"DA1880",13,"DA2040",14,"DA2200")),MID(D113,1,3)="個別台",D126)))&amp;IF(OR(D107=0,D111="　",G123=""),"","、"&amp;_xlfn.IFS(MID(D109,1,3)="防食Ⅱ","HDZT77めっき",MID(D109,5,2)="塩害","ｱﾙﾐﾅｲｽﾞ処理",MID(D109,5,2)="酸性","重防食処理"))</f>
        <v>ST140、FCD450相当、HDZT77めっき</v>
      </c>
      <c r="I123" s="52" t="str">
        <f>IF(OR(D107=0,D111="　",G123=""),"","n=1")</f>
        <v>n=1</v>
      </c>
      <c r="J123" s="16" t="str">
        <f>IF(OR(D107=0,D111="　",G123=""),"","台")</f>
        <v>台</v>
      </c>
      <c r="K123" s="32">
        <f>IF(OR(D107=0,D111="　",G123=""),"",1)</f>
        <v>1</v>
      </c>
      <c r="L123" s="68">
        <f>IFERROR(D110*K123,"")</f>
        <v>1</v>
      </c>
    </row>
    <row r="124" spans="2:12" ht="11.1" customHeight="1">
      <c r="B124" s="50" t="s">
        <v>20</v>
      </c>
      <c r="C124" s="10" t="s">
        <v>10</v>
      </c>
      <c r="D124" s="63">
        <f>IF(OR(D107=0,D111="　"),"──",SUM(D117,D121:D123))</f>
        <v>8.1999999999999993</v>
      </c>
      <c r="F124" s="24">
        <v>18</v>
      </c>
      <c r="G124" s="17" t="str">
        <f>IF(OR(D107=0,D111="　",MID(D113,1,3)&lt;&gt;"のり面",1*MID(D114,1,2)=1,1*MID(D114,1,2)&gt;=5),"","補剛板")</f>
        <v>補剛板</v>
      </c>
      <c r="H124" s="46" t="str" cm="1">
        <f t="array" ref="H124">IF(OR(D107=0,D111="　",G124=""),"",IF(MID(D111,4,1)="5","□"&amp;_xlfn.SWITCH(1*MID(D111,6,FIND("H",D111,6)-6),1,"210φ131t12",2,"210φ131t12",3,"240φ131t12",4,"270φ131t12",5,"280φ143t12",6,"310φ143t16",7,"350φ143t19",8,"350φ180t19",9,"350φ180t19",10,"350φ180t19",11,"350φ180t22",12,"350φ180t22"),"□"&amp;_xlfn.SWITCH(1*MID(D111,6,FIND("H",D111,6)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107=0,D111="　",G124=""),"","、"&amp;_xlfn.IFS(MID(D109,1,3)="防食Ⅱ","HDZT77めっき",MID(D109,5,2)="塩害","ｱﾙﾐﾅｲｽﾞ処理",MID(D109,5,2)="酸性","重防食処理"))</f>
        <v>□210φ131t12、SS400相当、HDZT77めっき</v>
      </c>
      <c r="I124" s="52" t="str">
        <f>IF(OR(D107=0,D111="　",G124=""),"","n=1")</f>
        <v>n=1</v>
      </c>
      <c r="J124" s="16" t="str">
        <f>IF(OR(D107=0,D111="　",G124=""),"","枚")</f>
        <v>枚</v>
      </c>
      <c r="K124" s="32">
        <f>IF(OR(D107=0,D111="　",G124=""),"",1)</f>
        <v>1</v>
      </c>
      <c r="L124" s="68">
        <f>IFERROR(D110*K124,"")</f>
        <v>1</v>
      </c>
    </row>
    <row r="125" spans="2:12" ht="11.1" customHeight="1">
      <c r="B125" s="51" t="s">
        <v>15</v>
      </c>
      <c r="C125" s="12" t="s">
        <v>10</v>
      </c>
      <c r="D125" s="64">
        <f>IF(OR(D107=0,D111="　"),"──",0.25)</f>
        <v>0.25</v>
      </c>
      <c r="F125" s="24">
        <v>19</v>
      </c>
      <c r="G125" s="17" t="str" cm="1">
        <f t="array" ref="G125">_xlfn.IFS(OR(D107=0,D111="　",MID(D112,1,3)="ｱﾙﾐ",1*MID(D114,1,2)=1,1*MID(D114,1,2)&gt;=5),"",MID(D112,1,3)&lt;&gt;"ｱﾙﾐ","テンドン補修用塗料")</f>
        <v>テンドン補修用塗料</v>
      </c>
      <c r="H125" s="38" t="str" cm="1">
        <f t="array" ref="H125">_xlfn.IFS(OR(D107=0,D111="　",MID(D112,1,3)="ｱﾙﾐ",1*MID(D114,1,2)=1,1*MID(D114,1,2)&gt;=5),"",MID(D112,1,3)&lt;&gt;"ｱﾙﾐ","エポキシ樹脂")</f>
        <v>エポキシ樹脂</v>
      </c>
      <c r="I125" s="52" t="str" cm="1">
        <f t="array" ref="I125">_xlfn.IFS(OR(D107=0,D111="　",MID(D112,1,3)="ｱﾙﾐ",1*MID(D114,1,2)=1,1*MID(D114,1,2)&gt;=5),"",MID(D112,1,3)&lt;&gt;"ｱﾙﾐ","W=PC鋼より線本数×"&amp;IF(MID(D111,4,1)="5","0.28","0.4"))</f>
        <v>W=PC鋼より線本数×0.28</v>
      </c>
      <c r="J125" s="16" t="str" cm="1">
        <f t="array" ref="J125">_xlfn.IFS(OR(D107=0,D111="　",MID(D112,1,3)="ｱﾙﾐ",1*MID(D114,1,2)=1,1*MID(D114,1,2)&gt;=5),"",MID(D112,1,3)&lt;&gt;"ｱﾙﾐ","g")</f>
        <v>g</v>
      </c>
      <c r="K125" s="77" cm="1">
        <f t="array" ref="K125">_xlfn.IFS(OR(D107=0,D111="　",MID(D112,1,3)="ｱﾙﾐ",1*MID(D114,1,2)=1,1*MID(D114,1,2)&gt;=5),"",MID(D112,1,3)&lt;&gt;"ｱﾙﾐ",MID(D111,6,FIND("H",D111,6)-6)*IF(MID(D111,4,1)="5",0.28,0.4))</f>
        <v>0.56000000000000005</v>
      </c>
      <c r="L125" s="78">
        <f>IFERROR(D110*K125,"")</f>
        <v>0.56000000000000005</v>
      </c>
    </row>
    <row r="126" spans="2:12" ht="11.1" customHeight="1">
      <c r="B126" s="65" t="s">
        <v>32</v>
      </c>
      <c r="C126" s="3" t="s">
        <v>33</v>
      </c>
      <c r="D126" s="76"/>
      <c r="F126" s="24">
        <v>20</v>
      </c>
      <c r="G126" s="17" t="str" cm="1">
        <f t="array" ref="G126">_xlfn.IFS(OR(D107=0,D111="　",MID(D112,1,3)="ｱﾙﾐ",1*MID(D114,1,2)=1,1*MID(D114,1,2)&gt;=5),"",MID(D112,1,3)&lt;&gt;"ｱﾙﾐ","長期防錆スプレー")</f>
        <v>長期防錆スプレー</v>
      </c>
      <c r="H126" s="38" t="str" cm="1">
        <f t="array" ref="H126">_xlfn.IFS(OR(D107=0,D111="　",MID(D112,1,3)="ｱﾙﾐ",1*MID(D114,1,2)=1,1*MID(D114,1,2)&gt;=5),"",MID(D112,1,3)&lt;&gt;"ｱﾙﾐ","防錆オイル")</f>
        <v>防錆オイル</v>
      </c>
      <c r="I126" s="52" t="str" cm="1">
        <f t="array" ref="I126">_xlfn.IFS(OR(D107=0,D111="　",MID(D112,1,3)="ｱﾙﾐ",1*MID(D114,1,2)=1,1*MID(D114,1,2)&gt;=5),"",MID(D112,1,3)&lt;&gt;"ｱﾙﾐ","n=0.01×(PC鋼より線本数+"&amp;IF(MID(D111,4,1)="5","6","12")&amp;")")</f>
        <v>n=0.01×(PC鋼より線本数+6)</v>
      </c>
      <c r="J126" s="16" t="str" cm="1">
        <f t="array" ref="J126">_xlfn.IFS(OR(D107=0,D111="　",MID(D112,1,3)="ｱﾙﾐ",1*MID(D114,1,2)=1,1*MID(D114,1,2)&gt;=5),"",MID(D112,1,3)&lt;&gt;"ｱﾙﾐ","缶")</f>
        <v>缶</v>
      </c>
      <c r="K126" s="77" cm="1">
        <f t="array" ref="K126">_xlfn.IFS(OR(D107=0,D111="　",MID(D112,1,3)="ｱﾙﾐ",1*MID(D114,1,2)=1,1*MID(D114,1,2)&gt;=5),"",MID(D112,1,3)&lt;&gt;"ｱﾙﾐ",0.01*(IF(MID(D111,4,1)="5",6,12)+MID(LEFT(D111,LEN(D111)-1),6,2)))</f>
        <v>0.08</v>
      </c>
      <c r="L126" s="78">
        <f>IFERROR(D110*K126,"")</f>
        <v>0.08</v>
      </c>
    </row>
    <row r="127" spans="2:12" ht="11.1" customHeight="1">
      <c r="F127" s="24">
        <v>21</v>
      </c>
      <c r="G127" s="17" t="str">
        <f>IF(OR(D107=0,D111="　",1*MID(D114,1,2)&lt;=1,1*MID(D114,1,2)=3,,1*MID(D114,1,2)=6),"","ﾌﾘｰﾊﾟｯｶｰ注入ﾎｰｽ")</f>
        <v/>
      </c>
      <c r="H127" s="29" t="str">
        <f>IF(OR(D107=0,D111="　",1*MID(D114,1,2)&lt;=1,1*MID(D114,1,2)=3,,1*MID(D114,1,2)=6),"","φ16/20、ポリエチレン")</f>
        <v/>
      </c>
      <c r="I127" s="29" t="str">
        <f>IF(OR(D107=0,D111="　",1*MID(D114,1,2)&lt;=1,1*MID(D114,1,2)=3,,1*MID(D114,1,2)=6),"","L=自由長+緊張部長")</f>
        <v/>
      </c>
      <c r="J127" s="16" t="str">
        <f>IF(OR(D107=0,D111="　",1*MID(D114,1,2)&lt;=1,1*MID(D114,1,2)=3,,1*MID(D114,1,2)=6),"","m")</f>
        <v/>
      </c>
      <c r="K127" s="30" t="str">
        <f>IF(OR(D107=0,D111="　",1*MID(D114,1,2)&lt;=1,1*MID(D114,1,2)=3,,1*MID(D114,1,2)=6),"",D121+D122)</f>
        <v/>
      </c>
      <c r="L127" s="67" t="str">
        <f>IFERROR(D110*K127,"")</f>
        <v/>
      </c>
    </row>
    <row r="128" spans="2:12" ht="11.1" customHeight="1">
      <c r="F128" s="24">
        <v>22</v>
      </c>
      <c r="G128" s="17" t="str">
        <f>IF(OR(D107=0,D111="　",1*MID(D114,1,2)&lt;=1,1*MID(D114,1,2)=3,,1*MID(D114,1,2)=6),"","フリーパッカー")</f>
        <v/>
      </c>
      <c r="H128" s="52" t="str" cm="1">
        <f t="array" ref="H128">IF(OR(D107=0,D111="　",1*MID(D114,1,2)&lt;=1,1*MID(D114,1,2)=3,1*MID(D114,1,2)=6),"",_xlfn.SWITCH(D118,90,"PA-170",115,"PA-200",135,"PA-240",146,"PA-290",165,"PA-350",216,"PA-420")&amp;"、織布")</f>
        <v/>
      </c>
      <c r="I128" s="52" t="str">
        <f>IF(OR(D107=0,D111="　",1*MID(D114,1,2)&lt;=1,1*MID(D114,1,2)=3,1*MID(D114,1,2)=6),"","L=自由長+0.5")</f>
        <v/>
      </c>
      <c r="J128" s="16" t="str">
        <f>IF(OR(D107=0,D111="　",1*MID(D114,1,2)&lt;=1,1*MID(D114,1,2)=3,,1*MID(D114,1,2)=6),"","m")</f>
        <v/>
      </c>
      <c r="K128" s="30" t="str">
        <f>IF(OR(D107=0,D111="　",1*MID(D114,1,2)&lt;=1,1*MID(D114,1,2)=3,,1*MID(D114,1,2)=6),"",D121+0.5)</f>
        <v/>
      </c>
      <c r="L128" s="69" t="str">
        <f>IFERROR(D110*K128,"")</f>
        <v/>
      </c>
    </row>
    <row r="129" spans="2:12" ht="11.1" customHeight="1">
      <c r="F129" s="24">
        <v>23</v>
      </c>
      <c r="G129" s="17" t="str">
        <f>IF(OR(D107=0,D111="　",1*MID(D114,1,2)&lt;=1,1*MID(D114,1,2)=3,,1*MID(D114,1,2)=6),"","ﾌﾘｰﾊﾟｯｶｰ取付加工")</f>
        <v/>
      </c>
      <c r="H129" s="29" t="str">
        <f>IF(OR(D107=0,D111="　",1*MID(D114,1,2)&lt;=1,1*MID(D114,1,2)=3,,1*MID(D114,1,2)=6),"","材工")</f>
        <v/>
      </c>
      <c r="I129" s="29" t="str">
        <f>IF(OR(D107=0,D111="　",1*MID(D114,1,2)&lt;=1,1*MID(D114,1,2)=3,,1*MID(D114,1,2)=6),"","n=1")</f>
        <v/>
      </c>
      <c r="J129" s="16" t="str">
        <f>IF(OR(D107=0,D111="　",1*MID(D114,1,2)&lt;=1,1*MID(D114,1,2)=3,,1*MID(D114,1,2)=6),"","式")</f>
        <v/>
      </c>
      <c r="K129" s="32" t="str">
        <f>IF(OR(D107=0,D111="　",1*MID(D114,1,2)&lt;=1,1*MID(D114,1,2)=3,,1*MID(D114,1,2)=6),"",1)</f>
        <v/>
      </c>
      <c r="L129" s="70" t="str">
        <f>IFERROR(D110*K129,"")</f>
        <v/>
      </c>
    </row>
    <row r="130" spans="2:12" ht="11.1" customHeight="1">
      <c r="F130" s="24">
        <v>24</v>
      </c>
      <c r="G130" s="17" t="str">
        <f>IF(OR(D107=0,D111="　",1*MID(D114,1,2)&lt;=2,1*MID(D114,1,2)=5),"","フリクションパッカー")</f>
        <v/>
      </c>
      <c r="H130" s="38" t="str" cm="1">
        <f t="array" ref="H130">IF(OR(D107=0,D111="　",1*MID(D114,1,2)&lt;=2,1*MID(D114,1,2)=5),"",_xlfn.SWITCH(D118,90,"FP125",115,"FP125",135,"FP150",146,"FP175",165,"FP200",216,"FP235")&amp;"、パイレン布")</f>
        <v/>
      </c>
      <c r="I130" s="38" t="str">
        <f>IF(OR(D107=0,D111="　",1*MID(D114,1,2)&lt;=2,1*MID(D114,1,2)=5),"","L=アンカー体長+0.5")</f>
        <v/>
      </c>
      <c r="J130" s="16" t="str">
        <f>IF(OR(D107=0,D111="　",1*MID(D114,1,2)&lt;=2,1*MID(D114,1,2)=5),"","m")</f>
        <v/>
      </c>
      <c r="K130" s="30" t="str">
        <f>IF(OR(D107=0,D111="　",1*MID(D114,1,2)&lt;=2,1*MID(D114,1,2)=5),"",D117+0.5)</f>
        <v/>
      </c>
      <c r="L130" s="68" t="str">
        <f>IFERROR(D110*K130,"")</f>
        <v/>
      </c>
    </row>
    <row r="131" spans="2:12" ht="11.1" customHeight="1">
      <c r="F131" s="24">
        <v>25</v>
      </c>
      <c r="G131" s="17" t="str">
        <f>IF(OR(D107=0,D111="　",1*MID(D114,1,2)&lt;=2,1*MID(D114,1,2)=5),"","ﾌﾘｸｼｮﾝﾊﾟｯｶｰ取付加工")</f>
        <v/>
      </c>
      <c r="H131" s="29" t="str">
        <f>IF(OR(D107=0,D111="　",1*MID(D114,1,2)&lt;=2,1*MID(D114,1,2)=5),"","材工")</f>
        <v/>
      </c>
      <c r="I131" s="29" t="str">
        <f>IF(OR(D107=0,D111="　",1*MID(D114,1,2)&lt;=2,1*MID(D114,1,2)=5),"","n=1")</f>
        <v/>
      </c>
      <c r="J131" s="16" t="str">
        <f>IF(OR(D107=0,D111="　",1*MID(D114,1,2)&lt;=2,1*MID(D114,1,2)=5),"","式")</f>
        <v/>
      </c>
      <c r="K131" s="32" t="str">
        <f>IF(OR(D107=0,D111="　",1*MID(D114,1,2)&lt;=2,1*MID(D114,1,2)=5),"",1)</f>
        <v/>
      </c>
      <c r="L131" s="70" t="str">
        <f>IFERROR(D110*K131,"")</f>
        <v/>
      </c>
    </row>
    <row r="132" spans="2:12" ht="11.1" customHeight="1">
      <c r="F132" s="24">
        <v>26</v>
      </c>
      <c r="G132" s="17" t="str">
        <f>IF(OR(D107=0,D111="　",1*MID(D114,1,2)=0,1*MID(D114,1,2)=2,1*MID(D114,1,2)=3,1*MID(D114,1,2)=4),"","試験ﾊﾟｯｶｰ水注入ﾎｰｽ")</f>
        <v/>
      </c>
      <c r="H132" s="38" t="str">
        <f>IF(OR(D107=0,D111="　",1*MID(D114,1,2)=0,1*MID(D114,1,2)=2,1*MID(D114,1,2)=3,1*MID(D114,1,2)=4),"","φ4/6、ナイロン")</f>
        <v/>
      </c>
      <c r="I132" s="38" t="str">
        <f>IF(OR(D107=0,D111="　",1*MID(D114,1,2)=0,1*MID(D114,1,2)=2,1*MID(D114,1,2)=3,1*MID(D114,1,2)=4),"","L=自由長+緊張部長")</f>
        <v/>
      </c>
      <c r="J132" s="79" t="str">
        <f>IF(OR(D107=0,D111="　",1*MID(D114,1,2)=0,1*MID(D114,1,2)=2,1*MID(D114,1,2)=3,1*MID(D114,1,2)=4),"","m")</f>
        <v/>
      </c>
      <c r="K132" s="80" t="str">
        <f>IF(OR(D107=0,D111="　",1*MID(D114,1,2)=0,1*MID(D114,1,2)=2,1*MID(D114,1,2)=3,1*MID(D114,1,2)=4),"",D121+D122)</f>
        <v/>
      </c>
      <c r="L132" s="81" t="str">
        <f>IFERROR(D110*K132,"")</f>
        <v/>
      </c>
    </row>
    <row r="133" spans="2:12" ht="11.1" customHeight="1">
      <c r="F133" s="24">
        <v>27</v>
      </c>
      <c r="G133" s="17" t="str">
        <f>IF(OR(D107=0,D111="　",1*MID(D114,1,2)=0,1*MID(D114,1,2)=2,1*MID(D114,1,2)=3,1*MID(D114,1,2)=4),"","引抜試験パッカー")</f>
        <v/>
      </c>
      <c r="H133" s="38" t="str" cm="1">
        <f t="array" ref="H133">IF(OR(D107=0,D111="　",1*MID(D114,1,2)=0,1*MID(D114,1,2)=2,1*MID(D114,1,2)=3,1*MID(D114,1,2)=4),"",_xlfn.SWITCH(D118,90,"PU90",115,"PU115",135,"PU135",146,"PU146",165,"PU165")&amp;"、3層構造(鋼管･ゴム･布)")</f>
        <v/>
      </c>
      <c r="I133" s="38" t="str">
        <f>IF(OR(D107=0,D111="　",1*MID(D114,1,2)=0,1*MID(D114,1,2)=2,1*MID(D114,1,2)=3,1*MID(D114,1,2)=4),"","n=1")</f>
        <v/>
      </c>
      <c r="J133" s="79" t="str">
        <f>IF(OR(D107=0,D111="　",1*MID(D114,1,2)=0,1*MID(D114,1,2)=2,1*MID(D114,1,2)=3,1*MID(D114,1,2)=4),"","式")</f>
        <v/>
      </c>
      <c r="K133" s="32" t="str" cm="1">
        <f t="array" ref="K133">IF(OR(D107=0,D111="　",1*MID(D114,1,2)=0,1*MID(D114,1,2)=2,1*MID(D114,1,2)=3,1*MID(D114,1,2)=4),"",_xlfn.IFS(OR(1*MID(D114,1,2)=1,1*MID(D114,1,2)&gt;=5),1))</f>
        <v/>
      </c>
      <c r="L133" s="68" t="str">
        <f>IFERROR(D110*K133,"")</f>
        <v/>
      </c>
    </row>
    <row r="134" spans="2:12" ht="11.1" customHeight="1">
      <c r="F134" s="24">
        <v>28</v>
      </c>
      <c r="G134" s="17" t="str">
        <f>IF(OR(D107=0,D111="　",1*MID(D114,1,2)=0,1*MID(D114,1,2)=2,1*MID(D114,1,2)=3,1*MID(D114,1,2)=4),"","引抜試験パッカー取付加工")</f>
        <v/>
      </c>
      <c r="H134" s="38" t="str">
        <f>IF(OR(D107=0,D111="　",1*MID(D114,1,2)=0,1*MID(D114,1,2)=2,1*MID(D114,1,2)=3,1*MID(D114,1,2)=4),"","材工")</f>
        <v/>
      </c>
      <c r="I134" s="38" t="str">
        <f>IF(OR(D107=0,D111="　",1*MID(D114,1,2)=0,1*MID(D114,1,2)=2,1*MID(D114,1,2)=3,1*MID(D114,1,2)=4),"","n=1")</f>
        <v/>
      </c>
      <c r="J134" s="79" t="str" cm="1">
        <f t="array" ref="J134">IF(OR(D107=0,D111="　",1*MID(D114,1,2)=0,1*MID(D114,1,2)=2,1*MID(D114,1,2)=3,1*MID(D114,1,2)=4),"",_xlfn.IFS(OR(1*MID(D114,1,2)=1,1*MID(D114,1,2)&gt;=5),"式"))</f>
        <v/>
      </c>
      <c r="K134" s="32" t="str" cm="1">
        <f t="array" ref="K134">IF(OR(D107=0,D111="　",1*MID(D114,1,2)=0,1*MID(D114,1,2)=2,1*MID(D114,1,2)=3,1*MID(D114,1,2)=4),"",_xlfn.IFS(OR(1*MID(D114,1,2)=1,1*MID(D114,1,2)&gt;=5),1))</f>
        <v/>
      </c>
      <c r="L134" s="68" t="str">
        <f>IFERROR(D110*K134,"")</f>
        <v/>
      </c>
    </row>
    <row r="135" spans="2:12" ht="11.1" customHeight="1">
      <c r="F135" s="24">
        <v>29</v>
      </c>
      <c r="G135" s="17" t="str">
        <f>IF(OR(D107=0,D111="　",1*MID(D114,1,2)=0,1*MID(D114,1,2)=2,1*MID(D114,1,2)=3,1*MID(D114,1,2)=4),"","自由長洗浄ﾎｰｽ")</f>
        <v/>
      </c>
      <c r="H135" s="38" t="str">
        <f>IF(OR(D107=0,D111="　",1*MID(D114,1,2)=0,1*MID(D114,1,2)=2,1*MID(D114,1,2)=3,1*MID(D114,1,2)=4),"","φ16/20、ポリエチレン")</f>
        <v/>
      </c>
      <c r="I135" s="38" t="str">
        <f>IF(OR(D107=0,D111="　",1*MID(D114,1,2)=0,1*MID(D114,1,2)=2,1*MID(D114,1,2)=3,1*MID(D114,1,2)=4),"","L=自由長+0.5")</f>
        <v/>
      </c>
      <c r="J135" s="79" t="str">
        <f>IF(OR(D107=0,D111="　",1*MID(D114,1,2)=0,1*MID(D114,1,2)=2,1*MID(D114,1,2)=3,1*MID(D114,1,2)=4),"","m")</f>
        <v/>
      </c>
      <c r="K135" s="32" t="str">
        <f>IF(OR(D107=0,D111="　",1*MID(D114,1,2)=0,1*MID(D114,1,2)=2,1*MID(D114,1,2)=3,1*MID(D114,1,2)=4),"",D121+0.5)</f>
        <v/>
      </c>
      <c r="L135" s="81" t="str">
        <f>IFERROR(D110*K135,"")</f>
        <v/>
      </c>
    </row>
    <row r="136" spans="2:12" ht="11.1" customHeight="1">
      <c r="D136" s="1" t="s">
        <v>9</v>
      </c>
      <c r="F136" s="56">
        <v>30</v>
      </c>
      <c r="G136" s="82" t="str">
        <f>IF(OR(D107=0,D111="　",1*MID(D114,1,2)&lt;=2,1*MID(D114,1,2)=5,MID(D136,6,2)&lt;&gt;"あり"),"","確認ホース")</f>
        <v/>
      </c>
      <c r="H136" s="83" t="str">
        <f>IF(OR(D107=0,D111="　",1*MID(D114,1,2)&lt;=2,1*MID(D114,1,2)=5,MID(D136,6,2)&lt;&gt;"あり"),"","φ17、ポリエチレン")</f>
        <v/>
      </c>
      <c r="I136" s="83"/>
      <c r="J136" s="84" t="str">
        <f>IF(OR(D107=0,D111="　",1*MID(D114,1,2)&lt;=2,1*MID(D114,1,2)=5,MID(D136,6,2)&lt;&gt;"あり"),"","m")</f>
        <v/>
      </c>
      <c r="K136" s="85" t="str">
        <f>IF(OR(D106=0,D111="　",1*MID(D114,1,2)&lt;=2,1*MID(D114,1,2)=5,MID(D136,6,2)&lt;&gt;"あり"),"",0.5+MROUND(D121+D123,0.1))</f>
        <v/>
      </c>
      <c r="L136" s="86" t="str">
        <f>IFERROR(D110*K136,"")</f>
        <v/>
      </c>
    </row>
    <row r="138" spans="2:12" ht="11.1" customHeight="1">
      <c r="B138" s="19" t="s">
        <v>1</v>
      </c>
      <c r="D138" s="4"/>
      <c r="G138" s="73" t="s">
        <v>39</v>
      </c>
    </row>
    <row r="139" spans="2:12" ht="11.1" customHeight="1">
      <c r="G139" s="99">
        <f>D140</f>
        <v>5</v>
      </c>
      <c r="H139" s="55" t="str">
        <f>IF(D141=0,"",D142&amp;" "&amp;D145&amp; "："&amp;TEXT(D158,"L=##0.00")&amp;"m"&amp;TEXT(D156,",L1=##0.00")&amp;"m"&amp;TEXT(D155,",Lf=##0.00")&amp;"m"&amp;TEXT(D151,",LA=##0.00")&amp;"m"&amp;TEXT(D157,",L2=##0.00")&amp;"m")</f>
        <v>(5)2列目：1段/4段 EHD5-2H：L=15.20m,L1=1.00m,Lf=11.00m,LA=3.00m,L2=0.20m</v>
      </c>
      <c r="I139" s="55"/>
      <c r="J139" s="18"/>
    </row>
    <row r="140" spans="2:12" ht="11.1" customHeight="1">
      <c r="B140" s="13" t="s">
        <v>2</v>
      </c>
      <c r="C140" s="3" t="s">
        <v>3</v>
      </c>
      <c r="D140" s="98">
        <f>1+(ROW()-ROW($D$4))/34</f>
        <v>5</v>
      </c>
      <c r="F140" s="20"/>
      <c r="G140" s="21" t="s">
        <v>21</v>
      </c>
      <c r="H140" s="22" t="s">
        <v>22</v>
      </c>
      <c r="I140" s="22" t="s">
        <v>38</v>
      </c>
      <c r="J140" s="23" t="s">
        <v>23</v>
      </c>
      <c r="K140" s="22" t="s">
        <v>24</v>
      </c>
      <c r="L140" s="3" t="s">
        <v>4</v>
      </c>
    </row>
    <row r="141" spans="2:12" ht="11.1" customHeight="1">
      <c r="B141" s="28" t="s">
        <v>25</v>
      </c>
      <c r="C141" s="5" t="s">
        <v>26</v>
      </c>
      <c r="D141" s="6">
        <v>1</v>
      </c>
      <c r="F141" s="24">
        <v>1</v>
      </c>
      <c r="G141" s="25" t="str">
        <f>IF(OR(D141=0,D145="　"),"","硅砂付着ECFﾃﾝﾄﾞﾝ")</f>
        <v>硅砂付着ECFﾃﾝﾄﾞﾝ</v>
      </c>
      <c r="H141" s="26" t="str">
        <f>IF(OR(D141=0,D145="　"),"",D145&amp;" ("&amp;MID(D145,6,FIND("H",D145,6)-6)&amp;IF(MID(D145,4,1)="5","φ12.7","φ15.2")&amp;")")</f>
        <v>EHD5-2H (2φ12.7)</v>
      </c>
      <c r="I141" s="57" t="str">
        <f>IF(OR(D141=0,D145="　"),"","W=テンドン長×PC鋼より線本数×"&amp;IF(MID(D145,4,1)="5","0.774","1.101")&amp;"kg/m")</f>
        <v>W=テンドン長×PC鋼より線本数×0.774kg/m</v>
      </c>
      <c r="J141" s="14" t="str">
        <f>IF(OR(D141=0,D145="　"),"","kg")</f>
        <v>kg</v>
      </c>
      <c r="K141" s="27">
        <f>IF(OR(D141=0,D145="　"),"",MROUND(D158*MID(D145,6,FIND("H",D145,6)-6)*IF(MID(D145,4,1)="5","0.774","1.101"),0.01))</f>
        <v>23.53</v>
      </c>
      <c r="L141" s="15">
        <f>IFERROR(D144*K141,"")</f>
        <v>23.53</v>
      </c>
    </row>
    <row r="142" spans="2:12" ht="11.1" customHeight="1">
      <c r="B142" s="31" t="s">
        <v>45</v>
      </c>
      <c r="C142" s="71" t="s">
        <v>6</v>
      </c>
      <c r="D142" s="74" t="s">
        <v>111</v>
      </c>
      <c r="F142" s="24">
        <v>2</v>
      </c>
      <c r="G142" s="17" t="str">
        <f>IF(OR(D141=0,D145="　"),"","アンカー工場加工")</f>
        <v>アンカー工場加工</v>
      </c>
      <c r="H142" s="29"/>
      <c r="I142" s="46" t="str">
        <f>IF(OR(D141=0,D145="　"),"","L=テンドン長")</f>
        <v>L=テンドン長</v>
      </c>
      <c r="J142" s="16" t="str">
        <f>IF(OR(D141=0,D145="　"),"","m")</f>
        <v>m</v>
      </c>
      <c r="K142" s="30">
        <f>IF(OR(D141=0,D145="　"),"",MROUND(D158,0.1))</f>
        <v>15.200000000000001</v>
      </c>
      <c r="L142" s="67">
        <f>IFERROR(D144*K142,"")</f>
        <v>15.200000000000001</v>
      </c>
    </row>
    <row r="143" spans="2:12" ht="11.1" customHeight="1">
      <c r="B143" s="34" t="s">
        <v>7</v>
      </c>
      <c r="C143" s="49" t="s">
        <v>6</v>
      </c>
      <c r="D143" s="2" t="s">
        <v>34</v>
      </c>
      <c r="F143" s="24">
        <v>3</v>
      </c>
      <c r="G143" s="17" t="str">
        <f>IF(OR(D141=0,D145="　",1*MID(D148,1,2)=1,1*MID(D148,1,2)&gt;=5),"","頭部キャップ")</f>
        <v>頭部キャップ</v>
      </c>
      <c r="H143" s="29" t="str" cm="1">
        <f t="array" ref="H143">IF(OR(D141=0,D145="　",1*MID(D148,1,2)=1,1*MID(D148,1,2)&gt;=5),"",IF(MID(D145,4,1)="5",_xlfn.SWITCH(1*MID(D145,6,FIND("H",D145,6)-6),1,"S",2,"S",3,"S",4,"S",5,"M",6,"M",7,"M",8,"L",9,"L",10,"L",11,"L",12,"L"),_xlfn.SWITCH(1*MID(D145,6,FIND("H",D145,6)-6),1,"S",2,"S",3,"M",4,"M",5,"L",6,"L",7,"L",8,"LL",9,"LL",10,"LL",11,"LL",12,"LL",13,"LL",14,"LL",15,"3L",16,"3L",17,"3L",18,"3L",19,"3L"))&amp;"型"&amp;MID(D146,IF(MID(D146,1,1)="G",4,1),10)&amp;IF(OR(MID(D146,1,2)="透明",MID(D146,1,2)="5窓"),"、PC樹脂","")&amp;IF(MID(D146,4,2)="鋼製","、SS400相当、HDZT77めっき","、ｱﾙﾐAC4C相当"))&amp;_xlfn.IFS(OR(D141=0,D145="　",MID(D143,1,3)="防食Ⅱ"),"",MID(D143,5,2)="塩害","、ﾀｹｺｰﾄ処理",MID(D143,5,2)="酸性","、重防食処理")</f>
        <v>S型透明ｷｬｯﾌﾟ、PC樹脂、ｱﾙﾐAC4C相当</v>
      </c>
      <c r="I143" s="52" t="str">
        <f>IF(OR(D141=0,D145="　",1*MID(D148,1,2)=1,1*MID(D148,1,2)&gt;=5),"","n=1")</f>
        <v>n=1</v>
      </c>
      <c r="J143" s="16" t="str">
        <f>IF(OR(D141=0,D145="　",1*MID(D148,1,2)=1,1*MID(D148,1,2)&gt;=5),"","個")</f>
        <v>個</v>
      </c>
      <c r="K143" s="32">
        <f>IF(OR(D141=0,D145="　",1*MID(D148,1,2)=1,1*MID(D148,1,2)&gt;=5),"",1)</f>
        <v>1</v>
      </c>
      <c r="L143" s="68">
        <f>IFERROR(D144*K143,"")</f>
        <v>1</v>
      </c>
    </row>
    <row r="144" spans="2:12" ht="11.1" customHeight="1">
      <c r="B144" s="31" t="s">
        <v>27</v>
      </c>
      <c r="C144" s="10" t="s">
        <v>5</v>
      </c>
      <c r="D144" s="75">
        <v>1</v>
      </c>
      <c r="F144" s="24">
        <v>4</v>
      </c>
      <c r="G144" s="17" t="str">
        <f>IF(OR(D141=0,D145="　",1*MID(D148,1,2)=1,1*MID(D148,1,2)&gt;=5),"","アンカーヘッド")</f>
        <v>アンカーヘッド</v>
      </c>
      <c r="H144" s="29" t="str" cm="1">
        <f t="array" ref="H144">IF(OR(D141=0,D145="　",1*MID(D148,1,2)=1,1*MID(D148,1,2)&gt;=5),"",IF(MID(D145,4,1)="5","G5"&amp;_xlfn.SWITCH(1*MID(D145,6,FIND("H",D145,6)-6),1,"01",2,"02",3,"03",4,"04",5,"07",6,"07",7,"07",8,"09",9,"09",10,"12",11,"12",12,"12"),"G6"&amp;_xlfn.SWITCH(1*MID(D145,6,FIND("H",D145,6)-6),1,"01",2,"02",3,"03",4,"04",5,"07",6,"07",7,"07",8,"09",9,"09",10,"12",11,"12",12,"12",13,"14",14,"14",15,"19",16,"19",17,"19",18,"19",19,"19"))&amp;"、S45C相当")&amp;IF(OR(D141=0,D145="　",MID(D146,1,3)="ｱﾙﾐ",1*MID(D148,1,2)=1,1*MID(D148,1,2)&gt;=5),"","、無電解Niめっき")</f>
        <v>G502、S45C相当、無電解Niめっき</v>
      </c>
      <c r="I144" s="52" t="str">
        <f>IF(OR(D141=0,D145="　",1*MID(D148,1,2)=1,1*MID(D148,1,2)&gt;=5),"","n=1")</f>
        <v>n=1</v>
      </c>
      <c r="J144" s="16" t="str">
        <f>IF(OR(D141=0,D145="　",1*MID(D148,1,2)=1,1*MID(D148,1,2)&gt;=5),"","個")</f>
        <v>個</v>
      </c>
      <c r="K144" s="32">
        <f>IF(OR(D141=0,D145="　",1*MID(D148,1,2)=1,1*MID(D148,1,2)&gt;=5),"",1)</f>
        <v>1</v>
      </c>
      <c r="L144" s="68">
        <f>IFERROR(D144*K144,"")</f>
        <v>1</v>
      </c>
    </row>
    <row r="145" spans="2:12" ht="11.1" customHeight="1">
      <c r="B145" s="33" t="s">
        <v>28</v>
      </c>
      <c r="C145" s="71" t="s">
        <v>6</v>
      </c>
      <c r="D145" s="7" t="s">
        <v>115</v>
      </c>
      <c r="F145" s="24">
        <v>5</v>
      </c>
      <c r="G145" s="17" t="str">
        <f>IF(OR(D141=0,D145="　",1*MID(D148,1,2)=1,1*MID(D148,1,2)&gt;=5),"","ナット")</f>
        <v>ナット</v>
      </c>
      <c r="H145" s="29" t="str" cm="1">
        <f t="array" ref="H145">IF(OR(D141=0,D145="　",1*MID(D148,1,2)=1,1*MID(D148,1,2)&gt;=5),"",IF(MID(D145,4,1)="5","G5"&amp;_xlfn.SWITCH(1*MID(D145,6,FIND("H",D145,6)-6),1,"01",2,"02",3,"03",4,"04",5,"07",6,"07",7,"07",8,"09",9,"09",10,"12",11,"12",12,"12"),"G6"&amp;_xlfn.SWITCH(1*MID(D145,6,FIND("H",D145,6)-6),1,"01",2,"02",3,"03",4,"04",5,"07",6,"07",7,"07",8,"09",9,"09",10,"12",11,"12",12,"12",13,"14",14,"14",15,"19",16,"19",17,"19",18,"19",19,"19"))&amp;"、S45C相当")&amp;IF(OR(D141=0,D145="　",MID(D146,1,3)="ｱﾙﾐ",1*MID(D148,1,2)=1,1*MID(D148,1,2)&gt;=5),"","、無電解Niめっき")</f>
        <v>G502、S45C相当、無電解Niめっき</v>
      </c>
      <c r="I145" s="52" t="str">
        <f>IF(OR(D141=0,D145="　",1*MID(D148,1,2)=1,1*MID(D148,1,2)&gt;=5),"","n=1")</f>
        <v>n=1</v>
      </c>
      <c r="J145" s="16" t="str">
        <f>IF(OR(D141=0,D145="　",1*MID(D148,1,2)=1,1*MID(D148,1,2)&gt;=5),"","個")</f>
        <v>個</v>
      </c>
      <c r="K145" s="32">
        <f>IF(OR(D141=0,D145="　",1*MID(D148,1,2)=1,1*MID(D148,1,2)&gt;=5),"",1)</f>
        <v>1</v>
      </c>
      <c r="L145" s="68">
        <f>IFERROR(D144*K145,"")</f>
        <v>1</v>
      </c>
    </row>
    <row r="146" spans="2:12" ht="11.1" customHeight="1">
      <c r="B146" s="35" t="s">
        <v>29</v>
      </c>
      <c r="C146" s="49" t="s">
        <v>6</v>
      </c>
      <c r="D146" s="2" t="s">
        <v>35</v>
      </c>
      <c r="F146" s="24">
        <v>6</v>
      </c>
      <c r="G146" s="17" t="str">
        <f>IF(OR(D141=0,D145="　",1*MID(D148,1,2)=1,1*MID(D148,1,2)&gt;=5),"","くさび")</f>
        <v>くさび</v>
      </c>
      <c r="H146" s="29" t="str">
        <f>IF(OR(D141=0,D145="　",1*MID(D148,1,2)=1,1*MID(D148,1,2)&gt;=5),"",IF(1*MID(D145,4,1)=5,"ECF12.7","ECF15.2")&amp;"、SCM415相当")&amp;IF(OR(D141=0,D145="　",MID(D146,1,3)="ｱﾙﾐ",1*MID(D148,1,2)=1,1*MID(D148,1,2)&gt;=5),"","、無電解Niめっき")</f>
        <v>ECF12.7、SCM415相当、無電解Niめっき</v>
      </c>
      <c r="I146" s="52" t="str">
        <f>IF(OR(D141=0,D145="　",1*MID(D148,1,2)=1,1*MID(D148,1,2)&gt;=5),"","n=1")</f>
        <v>n=1</v>
      </c>
      <c r="J146" s="16" t="str">
        <f>IF(OR(D141=0,D145="　",1*MID(D148,1,2)=1,1*MID(D148,1,2)&gt;=5),"","式")</f>
        <v>式</v>
      </c>
      <c r="K146" s="32">
        <f>IF(OR(D141=0,D145="　",1*MID(D148,1,2)=1,1*MID(D148,1,2)&gt;=5),"",1)</f>
        <v>1</v>
      </c>
      <c r="L146" s="68">
        <f>IFERROR(D144*K146,"")</f>
        <v>1</v>
      </c>
    </row>
    <row r="147" spans="2:12" ht="11.1" customHeight="1">
      <c r="B147" s="35" t="s">
        <v>8</v>
      </c>
      <c r="C147" s="49" t="s">
        <v>6</v>
      </c>
      <c r="D147" s="2" t="s">
        <v>36</v>
      </c>
      <c r="F147" s="24">
        <v>7</v>
      </c>
      <c r="G147" s="17" t="str">
        <f>IF(OR(D141=0,D145="　",1*MID(D148,1,2)=1,1*MID(D148,1,2)&gt;=5),"","押え板")</f>
        <v>押え板</v>
      </c>
      <c r="H147" s="29" t="str" cm="1">
        <f t="array" ref="H147">IF(OR(D141=0,D145="　",1*MID(D148,1,2)=1,1*MID(D148,1,2)&gt;=5),"",IF(MID(D145,4,1)="5","G5"&amp;_xlfn.SWITCH(1*MID(D145,6,FIND("H",D145,6)-6),1,"01",2,"04",3,"03",4,"04",5,"07",6,"07",7,"07",8,"12",9,"12",10,"12",11,"12",12,"12"),"G6"&amp;_xlfn.SWITCH(1*MID(D145,6,FIND("H",D145,6)-6),1,"01",2,"02",3,"03",4,"04",5,"07",6,"07",7,"07",8,"12",9,"12",10,"12",11,"12",12,"12",13,"14",14,"14",15,"19",16,"19",17,"19",18,"19",19,"19"))&amp;"、SS400相当")&amp;IF(OR(D141=0,D145="　",1*MID(D148,1,2)=1,1*MID(D148,1,2)&gt;=5),"","、"&amp;_xlfn.IFS(MID(D143,1,3)="防食Ⅱ","HDZT77めっき",MID(D143,5,2)="塩害","ｱﾙﾐﾅｲｽﾞ処理",MID(D143,5,2)="酸性","重防食処理"))</f>
        <v>G504、SS400相当、HDZT77めっき</v>
      </c>
      <c r="I147" s="52" t="str">
        <f>IF(OR(D141=0,D145="　",1*MID(D148,1,2)=1,1*MID(D148,1,2)&gt;=5),"","n=1")</f>
        <v>n=1</v>
      </c>
      <c r="J147" s="16" t="str">
        <f>IF(OR(D141=0,D145="　",1*MID(D148,1,2)=1,1*MID(D148,1,2)&gt;=5),"","枚")</f>
        <v>枚</v>
      </c>
      <c r="K147" s="32">
        <f>IF(OR(D141=0,D145="　",1*MID(D148,1,2)=1,1*MID(D148,1,2)&gt;=5),"",1)</f>
        <v>1</v>
      </c>
      <c r="L147" s="68">
        <f>IFERROR(D144*K147,"")</f>
        <v>1</v>
      </c>
    </row>
    <row r="148" spans="2:12" ht="11.1" customHeight="1">
      <c r="B148" s="36" t="s">
        <v>87</v>
      </c>
      <c r="C148" s="72" t="s">
        <v>6</v>
      </c>
      <c r="D148" s="8" t="s">
        <v>42</v>
      </c>
      <c r="F148" s="24">
        <v>8</v>
      </c>
      <c r="G148" s="17" t="str">
        <f>IF(OR(D141=0,D145="　"),"",IF(OR(1*MID(D148,1,2)=1,1*MID(D148,1,2)&gt;=5,MID(D147,1,3)&lt;&gt;"のり面"),"","管付")&amp;"支圧板")</f>
        <v>管付支圧板</v>
      </c>
      <c r="H148" s="29" t="str" cm="1">
        <f t="array" ref="H148">IF(OR(D141=0,D145="　"),"","PL"&amp;IF(OR(1*MID(D148,1,2)=1,1*MID(D148,1,2)&gt;=5,MID(D147,1,3)&lt;&gt;"のり面"),"","P")&amp;IF(MID(D145,4,1)="5","5-"&amp;_xlfn.SWITCH(1*MID(D145,6,FIND("H",D145,6)-6),1,"1",2,"2",3,"3",4,"4",5,"5",6,"6",7,"7",8,"9",9,"9",10,"10",11,"11",12,"12"),"6-"&amp;_xlfn.SWITCH(1*MID(D145,6,FIND("H",D145,6)-6),1,"1",2,"2",3,"3",4,"4",5,"6",6,"6",7,"7",8,"8",9,"9",10,"10",11,"11",12,"12",13,"14",14,"14",15,"16",16,"16",17,"17",18,"18",19,"19"))&amp;"、SS400相当")&amp;IF(OR(D141=0,D145="　"),"","、"&amp;_xlfn.IFS(MID(D143,1,3)="防食Ⅱ","HDZT77めっき",MID(D143,5,2)="塩害","ｱﾙﾐﾅｲｽﾞ処理",MID(D143,5,2)="酸性","重防食処理"))</f>
        <v>PLP5-2、SS400相当、HDZT77めっき</v>
      </c>
      <c r="I148" s="52" t="str">
        <f>IF(OR(D141=0,D145="　"),"","n=1")</f>
        <v>n=1</v>
      </c>
      <c r="J148" s="16" t="str">
        <f>IF(OR(D141=0,D145="　"),"","枚")</f>
        <v>枚</v>
      </c>
      <c r="K148" s="32">
        <f>IF(OR(D141=0,D145="　"),"",1)</f>
        <v>1</v>
      </c>
      <c r="L148" s="68">
        <f>IFERROR(D144*K148,"")</f>
        <v>1</v>
      </c>
    </row>
    <row r="149" spans="2:12" ht="11.1" customHeight="1">
      <c r="B149" s="37" t="str" cm="1">
        <f t="array" ref="B149">"頭部自由長"&amp;_xlfn.IFS(MID(D147,1,2)="なし","",MID(D147,1,3)="受圧体","(受圧体)",MID(D147,1,3)="のり面","(角度台座＋受圧体)",MID(D147,1,3)="構造物","(壁面台座)",MID(D147,1,3)="土留め","(台座+腹起し)",MID(D147,1,3)="個別台","(個別台座+腹起し)")&amp;"　Lfh"</f>
        <v>頭部自由長(角度台座＋受圧体)　Lfh</v>
      </c>
      <c r="C149" s="9" t="s">
        <v>10</v>
      </c>
      <c r="D149" s="75">
        <v>0.6</v>
      </c>
      <c r="F149" s="24">
        <v>9</v>
      </c>
      <c r="G149" s="17" t="str">
        <f>IF(OR(D141=0,D145="　",1*MID(D148,1,2)=1,1*MID(D148,1,2)&gt;=5),"","止水ゴム")</f>
        <v>止水ゴム</v>
      </c>
      <c r="H149" s="29" t="str">
        <f>IF(OR(D141=0,D145="　",1*MID(D148,1,2)=1,1*MID(D148,1,2)&gt;=5),"","G"&amp;MID(D145,4,4)&amp;"、NBR45相当")</f>
        <v>G5-2H、NBR45相当</v>
      </c>
      <c r="I149" s="52" t="str">
        <f>IF(OR(D141=0,D145="　",1*MID(D148,1,2)=1,1*MID(D148,1,2)&gt;=5),"","n=1")</f>
        <v>n=1</v>
      </c>
      <c r="J149" s="16" t="str">
        <f>IF(OR(D141=0,D145="　",1*MID(D148,1,2)=1,1*MID(D148,1,2)&gt;=5),"","個")</f>
        <v>個</v>
      </c>
      <c r="K149" s="32">
        <f>IF(OR(D141=0,D145="　",1*MID(D148,1,2)=1,1*MID(D148,1,2)&gt;=5),"",1)</f>
        <v>1</v>
      </c>
      <c r="L149" s="68">
        <f>IFERROR(D144*K149,"")</f>
        <v>1</v>
      </c>
    </row>
    <row r="150" spans="2:12" ht="11.1" customHeight="1">
      <c r="B150" s="31" t="s">
        <v>11</v>
      </c>
      <c r="C150" s="10" t="s">
        <v>10</v>
      </c>
      <c r="D150" s="75">
        <v>10.4</v>
      </c>
      <c r="F150" s="24">
        <v>10</v>
      </c>
      <c r="G150" s="17" t="str" cm="1">
        <f t="array" ref="G150">IF(OR(D141=0,D145="　",1*MID(D148,1,2)=1,1*MID(D148,1,2)&gt;=5),"",_xlfn.IFS(MID(D146,1,3)="ｱﾙﾐ","頭部防錆油",MID(D146,1,3)&lt;&gt;"ｱﾙﾐ","余長キャップ"))</f>
        <v>余長キャップ</v>
      </c>
      <c r="H150" s="29" t="str" cm="1">
        <f t="array" ref="H150">_xlfn.IFS(OR(D141=0,D145="　",1*MID(D148,1,2)=1,1*MID(D148,1,2)&gt;=5),"",MID(D146,1,3)="ｱﾙﾐ","PCコートC",MID(D146,1,3)&lt;&gt;"ｱﾙﾐ","TC"&amp;MID(D145,4,1)&amp;"、高密度ポリエチレン")</f>
        <v>TC5、高密度ポリエチレン</v>
      </c>
      <c r="I150" s="52" t="str" cm="1">
        <f t="array" ref="I150">_xlfn.IFS(OR(D141=0,D145="　",1*MID(D148,1,2)=1,1*MID(D148,1,2)&gt;=5),"",MID(D146,1,3)="ｱﾙﾐ","W="&amp;IF(MID(D145,4,1)="5",_xlfn.SWITCH(1*MID(LEFT(D145, LEN(D145)-1),6,2),1,1.9,2,1.3,3,1.3,4,1.3,5,1.6,6,1.6,7,1.6,8,3.1,9,3.1,10,3.1,11,3.1,12,3.1),"G6"&amp;_xlfn.SWITCH(1*MID(LEFT(D145, LEN(D145)-1),6,2),1,1.8,2,1.3,3,1.8,4,1.8,5,3.3,6,3.3,7,3.3,8,9.9,9,9.9,10,9.9,11,9.9,12,9.9,13,9.9,14,9.9)),MID(D146,1,3)&lt;&gt;"ｱﾙﾐ","n=1")</f>
        <v>n=1</v>
      </c>
      <c r="J150" s="16" t="str" cm="1">
        <f t="array" ref="J150">_xlfn.IFS(OR(D141=0,D145="　",1*MID(D148,1,2)=1,1*MID(D148,1,2)&gt;=5),"",MID(D146,1,3)="ｱﾙﾐ","kg",MID(D146,1,3)&lt;&gt;"ｱﾙﾐ","式")</f>
        <v>式</v>
      </c>
      <c r="K150" s="80" cm="1">
        <f t="array" ref="K150">_xlfn.IFS(OR(D141=0,D145="　",1*MID(D148,1,2)=1,1*MID(D148,1,2)&gt;=5),"",MID(D146,1,3)="ｱﾙﾐ",_xlfn.SWITCH(MID(D145,4,1),"5",_xlfn.SWITCH(1*MID(D145,6,FIND("H",D145,6)-6),1,1.9,2,1.3,3,1.3,4,1.3,5,1.6,6,1.6,7,1.6,8,3.1,9,3.1,10,3.1,11,3.1,12,3.1),"6",_xlfn.SWITCH(1*MID(D145,6,FIND("H",D145,6)-6),1,1.8,2,1.3,3,1.8,4,1.8,5,3.3,6,3.3,7,3.3,8,9.9,9,9.9,10,9.9,11,9.9,12,9.9,13,9.9,14,9.9)),MID(D146,1,3)&lt;&gt;"ｱﾙﾐ",1)</f>
        <v>1</v>
      </c>
      <c r="L150" s="68">
        <f>IFERROR(D144*K150,"")</f>
        <v>1</v>
      </c>
    </row>
    <row r="151" spans="2:12" ht="11.1" customHeight="1">
      <c r="B151" s="39" t="s">
        <v>18</v>
      </c>
      <c r="C151" s="40" t="s">
        <v>10</v>
      </c>
      <c r="D151" s="75">
        <v>3</v>
      </c>
      <c r="F151" s="24">
        <v>11</v>
      </c>
      <c r="G151" s="17" t="str">
        <f>IF(OR(D141=0,D145="　",1*MID(D148,1,2)=1,1*MID(D148,1,2)&gt;=5),"","配列スペーサ")</f>
        <v>配列スペーサ</v>
      </c>
      <c r="H151" s="29" t="str">
        <f>IF(OR(D141=0,D145="　",1*MID(D148,1,2)=1,1*MID(D148,1,2)&gt;=5),"",IF(MID(D145,4,1)="5","PS5-"&amp;_xlfn.SWITCH(1*MID(D145,6,FIND("H",D145,6)-6),1,"7",2,"2",3,"3",4,"4",5,"7",6,"7",7,"7",8,"12",9,"12",10,"12",11,"12",12,"12"),"PS6-"&amp;_xlfn.SWITCH(1*MID(D145,6,FIND("H",D145,6)-6),1,"7",2,"2",3,"3",4,"4",5,"7",6,"7",7,"7",8,"12",9,"12",10,"12",11,"12",12,"12",13,"14",14,"14",15,"19",16,"19",17,"19",18,"19",19,"19"))&amp;"、ポリエチレン")</f>
        <v>PS5-2、ポリエチレン</v>
      </c>
      <c r="I151" s="52" t="str">
        <f>IF(OR(D141=0,D145="　",1*MID(D148,1,2)=1,1*MID(D148,1,2)&gt;=5),"","n=2")</f>
        <v>n=2</v>
      </c>
      <c r="J151" s="16" t="str">
        <f>IF(OR(D141=0,D145="　",1*MID(D148,1,2)=1,1*MID(D148,1,2)&gt;=5),"","個")</f>
        <v>個</v>
      </c>
      <c r="K151" s="32">
        <f>IF(OR(D141=0,D145="　",1*MID(D148,1,2)=1,1*MID(D148,1,2)&gt;=5),"",2)</f>
        <v>2</v>
      </c>
      <c r="L151" s="68">
        <f>IFERROR(D144*K151,"")</f>
        <v>2</v>
      </c>
    </row>
    <row r="152" spans="2:12" ht="11.1" customHeight="1">
      <c r="B152" s="36" t="s">
        <v>17</v>
      </c>
      <c r="C152" s="11" t="s">
        <v>16</v>
      </c>
      <c r="D152" s="54">
        <v>90</v>
      </c>
      <c r="F152" s="24">
        <v>12</v>
      </c>
      <c r="G152" s="17" t="str">
        <f>IF(OR(D141=0,D145="　"),"","スペーサ")</f>
        <v>スペーサ</v>
      </c>
      <c r="H152" s="29" t="str" cm="1">
        <f t="array" ref="H152">IF(OR(D141=0,D145="　"),"",IF(MID(D145,4,1)="5","S5-"&amp;_xlfn.IFS(1*MID(D145,6,FIND("H",D145,6)-6)&lt;6,"5",1*MID(D145,6,FIND("H",D145,6)-6)&lt;9,"8",1*MID(D145,6,FIND("H",D145,6)-6)&gt;8,"12"),"S6-"&amp;_xlfn.IFS(1*MID(D145,6,FIND("H",D145,6)-6)&lt;4,"3",1*MID(D145,6,FIND("H",D145,6)-6)&lt;7,"6",1*MID(D145,6,FIND("H",D145,6)-6)&lt;10,"9",1*MID(D145,6,FIND("H",D145,6)-6)&lt;13,"12",1*MID(D145,6,FIND("H",D145,6)-6)&lt;15,"14",1*MID(D145,6,FIND("H",D145,6)-6)&lt;20,"19"))&amp;"、ポリプロピレン")</f>
        <v>S5-5、ポリプロピレン</v>
      </c>
      <c r="I152" s="58" t="str">
        <f>IF(OR(D141=0,D145="　"),"","n=mround(アンカー体長－0.4)÷@1.0m, 1.0)")</f>
        <v>n=mround(アンカー体長－0.4)÷@1.0m, 1.0)</v>
      </c>
      <c r="J152" s="16" t="str">
        <f>IF(OR(D141=0,D145="　"),"","個")</f>
        <v>個</v>
      </c>
      <c r="K152" s="38">
        <f>IF(OR(D141=0,D145="　"),"",MROUND((D151-0.4)/1,1))</f>
        <v>3</v>
      </c>
      <c r="L152" s="67">
        <f>IFERROR(D144*K152,"")</f>
        <v>3</v>
      </c>
    </row>
    <row r="153" spans="2:12" ht="11.1" customHeight="1">
      <c r="B153" s="41" t="s">
        <v>37</v>
      </c>
      <c r="C153" s="5" t="s">
        <v>16</v>
      </c>
      <c r="D153" s="66" cm="1">
        <f t="array" ref="D153">IF(OR(D141=0,D145="　"),"",_xlfn.SWITCH(1*MID(D148,1,2),0,_xlfn.SWITCH(1*MID(D145,4,1),5,_xlfn.SWITCH(1*MID(LEFT(D145, LEN(D145)-1),6,2),1,90,2,90,3,90,4,90,5,90,6,115,7,115,8,115,9,135,10,135,11,135,12,135),6,_xlfn.SWITCH(1*MID(LEFT(D145, LEN(D145)-1),6,2),1,90,2,90,3,90,4,115,5,115,6,115,7,135,8,135,9,135,10,146,11,146,12,146,13,165,14,165)),1,_xlfn.SWITCH(1*MID(D145,4,1),5,_xlfn.SWITCH(1*MID(LEFT(D145, LEN(D145)-1),6,2),1,90,2,90,3,90,4,90,5,115,6,115,7,135,8,135,9,135,10,135,11,165,12,165),6,_xlfn.SWITCH(1*MID(LEFT(D145, LEN(D145)-1),6,2),1,90,2,90,3,115,4,115,5,135,6,135,7,135,8,135,9,135,10,165,11,165,12,165,13,165,14,165)),2,_xlfn.SWITCH(1*MID(D145,4,1),5,_xlfn.SWITCH(1*MID(LEFT(D145, LEN(D145)-1),6,2),1,90,2,90,3,115,4,115,5,115,6,115,7,135,8,135,9,146,10,146,11,146,12,146),6,_xlfn.SWITCH(1*MID(LEFT(D145, LEN(D145)-1),6,2),1,90,2,90,3,115,4,115,5,135,6,135,7,146,8,146,9,146,10,165,11,165,12,165,13,216,14,216)),3,_xlfn.SWITCH(1*MID(D145,4,1),5,_xlfn.SWITCH(1*MID(LEFT(D145, LEN(D145)-1),6,2),1,115,2,115,3,115,4,115,5,115,6,135,7,135,8,135,9,146,10,146,11,146,12,146),6,_xlfn.SWITCH(1*MID(LEFT(D145, LEN(D145)-1),6,2),1,115,2,115,3,115,4,135,5,135,6,135,7,146,8,146,9,146,10,165,11,165,12,165,13,216,14,216)),4,_xlfn.SWITCH(1*MID(D145,4,1),5,_xlfn.SWITCH(1*MID(LEFT(D145, LEN(D145)-1),6,2),1,115,2,115,3,115,4,115,5,115,6,135,7,135,8,135,9,146,10,146,11,146,12,146),6,_xlfn.SWITCH(1*MID(LEFT(D145, LEN(D145)-1),6,2),1,115,2,115,3,115,4,135,5,135,6,135,7,146,8,146,9,146,10,165,11,165,12,165,13,216,14,216)),5,_xlfn.SWITCH(1*MID(D145,4,1),5,_xlfn.SWITCH(1*MID(LEFT(D145, LEN(D145)-1),6,2),1,90,2,90,3,115,4,115,5,115,6,115,7,135,8,135,9,165,10,165,11,165,12,165),6,_xlfn.SWITCH(1*MID(LEFT(D145, LEN(D145)-1),6,2),1,90,2,90,3,115,4,115,5,135,6,135,7,165,8,165,9,165,10,165,11,165,12,165,13,216,14,216)),6,_xlfn.SWITCH(1*MID(D145,4,1),5,_xlfn.SWITCH(1*MID(LEFT(D145, LEN(D145)-1),6,2),1,115,2,115,3,115,4,115,5,115,6,135,7,135,8,135,9,165,10,165,11,165,12,165),6,_xlfn.SWITCH(1*MID(LEFT(D145, LEN(D145)-1),6,2),1,115,2,115,3,115,4,135,5,135,6,135,7,165,8,165,9,165,10,165,11,165,12,165,13,216,14,216)),7,_xlfn.SWITCH(1*MID(D145,4,1),5,_xlfn.SWITCH(1*MID(LEFT(D145, LEN(D145)-1),6,2),1,115,2,115,3,115,4,115,5,115,6,135,7,135,8,135,9,165,10,165,11,165,12,165),6,_xlfn.SWITCH(1*MID(LEFT(D145, LEN(D145)-1),6,2),1,115,2,115,3,115,4,135,5,135,6,135,7,165,8,165,9,165,10,165,11,165,12,165,13,216,14,216))))</f>
        <v>90</v>
      </c>
      <c r="F153" s="24">
        <v>13</v>
      </c>
      <c r="G153" s="17" t="str">
        <f>IF(OR(D141=0,D145="　"),"","ﾊﾟｲﾛｯﾄｷｬｯﾌﾟ")</f>
        <v>ﾊﾟｲﾛｯﾄｷｬｯﾌﾟ</v>
      </c>
      <c r="H153" s="29" t="str" cm="1">
        <f t="array" ref="H153">IF(OR(D141=0,D145="　"),"",IF(MID(D145,4,1)="5","PC5-"&amp;_xlfn.IFS(1*MID(D145,6,FIND("H",D145,6)-6)&lt;5,"4",1*MID(D145,6,FIND("H",D145,6)-6)&lt;8,"7",1*MID(D145,6,FIND("H",D145,6)-6)&lt;10,"9",1*MID(D145,6,FIND("H",D145,6)-6)&gt;9,"12"),"PC6-"&amp;_xlfn.IFS(1*MID(D145,6,FIND("H",D145,6)-6)&lt;4,"3",1*MID(D145,6,FIND("H",D145,6)-6)&lt;8,"7",1*MID(D145,6,FIND("H",D145,6)-6)&lt;13,"12",1*MID(D145,6,FIND("H",D145,6)-6)&lt;15,"14",1*MID(D145,6,FIND("H",D145,6)-6)&lt;20,"19"))&amp;"、ポリプロピレン")</f>
        <v>PC5-4、ポリプロピレン</v>
      </c>
      <c r="I153" s="52" t="str">
        <f>IF(OR(D141=0,D145="　"),"","n=1")</f>
        <v>n=1</v>
      </c>
      <c r="J153" s="16" t="str">
        <f>IF(OR(D141=0,D145="　"),"","個")</f>
        <v>個</v>
      </c>
      <c r="K153" s="32">
        <f>IF(OR(D141=0,D145="　"),"",1)</f>
        <v>1</v>
      </c>
      <c r="L153" s="68">
        <f>IFERROR(D144*K153,"")</f>
        <v>1</v>
      </c>
    </row>
    <row r="154" spans="2:12" ht="11.1" customHeight="1">
      <c r="B154" s="43" t="s">
        <v>30</v>
      </c>
      <c r="C154" s="44" t="s">
        <v>31</v>
      </c>
      <c r="D154" s="59" t="str">
        <f>IF(OR(D141=0,D145="　"),"",IF(D152=D153,"OK","CHECK"))</f>
        <v>OK</v>
      </c>
      <c r="F154" s="24">
        <v>14</v>
      </c>
      <c r="G154" s="17" t="str">
        <f>IF(OR(D141=0,D145="　"),"","結束バンド")</f>
        <v>結束バンド</v>
      </c>
      <c r="H154" s="29" t="str">
        <f>IF(OR(D141=0,D145="　"),"","66ナイロン")</f>
        <v>66ナイロン</v>
      </c>
      <c r="I154" s="58" t="str">
        <f>IF(OR(D141=0,D145="　"),"","n=スペーサ数×2")</f>
        <v>n=スペーサ数×2</v>
      </c>
      <c r="J154" s="16" t="str">
        <f>IF(OR(D141=0,D145="　"),"","本")</f>
        <v>本</v>
      </c>
      <c r="K154" s="38">
        <f>IF(OR(D141=0,D145="　"),"",2*K152)</f>
        <v>6</v>
      </c>
      <c r="L154" s="67">
        <f>IFERROR(D144*K154,"")</f>
        <v>6</v>
      </c>
    </row>
    <row r="155" spans="2:12" ht="11.1" customHeight="1">
      <c r="B155" s="45" t="s">
        <v>12</v>
      </c>
      <c r="C155" s="9" t="s">
        <v>10</v>
      </c>
      <c r="D155" s="60">
        <f>IF(OR(D141=0,D145="　"),"──",SUM(D149:D150))</f>
        <v>11</v>
      </c>
      <c r="F155" s="24">
        <v>15</v>
      </c>
      <c r="G155" s="17" t="str">
        <f>IF(OR(D141=0,D145="　"),"","結束テープ")</f>
        <v>結束テープ</v>
      </c>
      <c r="H155" s="29" t="str">
        <f>IF(OR(D141=0,D145="　"),"","フィラメントテープ")</f>
        <v>フィラメントテープ</v>
      </c>
      <c r="I155" s="58" t="str">
        <f>IF(OR(D141=0,D145="　"),"","L=(自由長+緊張部長)÷@1.0m×テープ係数"&amp;IF(MID(D145,4,1)="5",_xlfn.IFS(1*MID(LEFT(D145, LEN(D145)-1),6,2)&lt;4,"0.8",1*MID(LEFT(D145, LEN(D145)-1),6,2)&lt;7,"1.0",1*MID(LEFT(D145, LEN(D145)-1),6,2)&lt;10,"1.2",1*MID(LEFT(D145, LEN(D145)-1),6,2)&lt;13,"1.4"),_xlfn.IFS(1*MID(LEFT(D145, LEN(D145)-1),6,2)&lt;4,"1.0",1*MID(LEFT(D145, LEN(D145)-1),6,2)&lt;7,"1.2",1*MID(LEFT(D145, LEN(D145)-1),6,2)&lt;10,"1.4",1*MID(LEFT(D145, LEN(D145)-1),6,2)&lt;15,"1.8")))</f>
        <v>L=(自由長+緊張部長)÷@1.0m×テープ係数0.8</v>
      </c>
      <c r="J155" s="16" t="str">
        <f>IF(OR(D141=0,D145="　"),"","m")</f>
        <v>m</v>
      </c>
      <c r="K155" s="42" cm="1">
        <f t="array" ref="K155">IF(OR(D141=0,D145="　"),"",MROUND((SUM(D155,D156))/1*IF(MID(D145,4,1)="5",_xlfn.SWITCH(1*MID(D145,6,FIND("H",D145,6)-6),1,0.8,2,0.8,3,0.8,4,1,5,1,6,1,7,1.2,8,1.2,9,1.2,10,1.4,11,1.4,12,1.4),_xlfn.SWITCH(1*MID(D145,6,FIND("H",D145,6)-6),1,1,2,1,3,1,4,1.2,5,1.2,6,1.2,7,1.4,8,1.4,9,1.4,10,1.8,11,1.8,12,1.8,13,1.8,14,1.8,15,2.5,16,2.5,17,2.5,18,2.5,19,2.5)),0.1))</f>
        <v>9.6000000000000014</v>
      </c>
      <c r="L155" s="69">
        <f>IFERROR(D144*K155,"")</f>
        <v>9.6000000000000014</v>
      </c>
    </row>
    <row r="156" spans="2:12" ht="11.1" customHeight="1">
      <c r="B156" s="47" t="s">
        <v>13</v>
      </c>
      <c r="C156" s="10" t="s">
        <v>10</v>
      </c>
      <c r="D156" s="61" cm="1">
        <f t="array" ref="D156">IF(OR(D141=0,D145="　"),"──",IF(MID(D145,4,1)="5",_xlfn.IFS(1*MID(LEFT(D145,LEN(D145)-1),6,2)&lt;8,1,1*MID(LEFT(D145,LEN(D145)-1),6,2)&lt;13,1.2),_xlfn.IFS(1*MID(LEFT(D145,LEN(D145)-1),6,2)&lt;6,1,1*MID(LEFT(D145,LEN(D145)-1),6,2)&lt;15,1.2)))</f>
        <v>1</v>
      </c>
      <c r="F156" s="24">
        <v>16</v>
      </c>
      <c r="G156" s="17" t="str">
        <f>IF(OR(D141=0,D145="　",1*MID(D148,1,2)=1,1*MID(D148,1,2)=5),"","注入ホース")</f>
        <v>注入ホース</v>
      </c>
      <c r="H156" s="29" t="str">
        <f>IF(OR(D141=0,D145="　",1*MID(D148,1,2)=1,1*MID(D148,1,2)=5),"","φ16/20、高密度ポリエチレン")</f>
        <v>φ16/20、高密度ポリエチレン</v>
      </c>
      <c r="I156" s="46" t="str">
        <f>IF(OR(D141=0,D145="　",1*MID(D148,1,2)=1,1*MID(D148,1,2)=5),"","L=テンドン長")</f>
        <v>L=テンドン長</v>
      </c>
      <c r="J156" s="16" t="str">
        <f>IF(OR(D141=0,D145="　",1*MID(D148,1,2)=1,1*MID(D148,1,2)=5),"","m")</f>
        <v>m</v>
      </c>
      <c r="K156" s="30">
        <f>IF(OR(D141=0,D145="　",1*MID(D148,1,2)=1,1*MID(D148,1,2)=5),"",MROUND(D158,0.1))</f>
        <v>15.200000000000001</v>
      </c>
      <c r="L156" s="67">
        <f>IFERROR(D144*K156,"")</f>
        <v>15.200000000000001</v>
      </c>
    </row>
    <row r="157" spans="2:12" ht="11.1" customHeight="1">
      <c r="B157" s="48" t="s">
        <v>19</v>
      </c>
      <c r="C157" s="10" t="s">
        <v>14</v>
      </c>
      <c r="D157" s="62">
        <f>IF(OR(D141=0,D145="　"),"──",0.2)</f>
        <v>0.2</v>
      </c>
      <c r="F157" s="24">
        <v>17</v>
      </c>
      <c r="G157" s="17" t="str" cm="1">
        <f t="array" ref="G157">_xlfn.IFS(OR(D141=0,D145="　",MID(D147,1,2)="なし",MID(D147,1,3)="受圧体",1*MID(D148,1,2)=1,1*MID(D148,1,2)&gt;=5),"",MID(D147,1,3)="のり面","のり面角度台座",MID(D147,1,3)="構造物","構造物壁面台座",MID(D147,1,3)="土留め","土留め台座",MID(D147,1,3)="個別台","個別台座")</f>
        <v>のり面角度台座</v>
      </c>
      <c r="H157" s="46" t="str" cm="1">
        <f t="array" ref="H157">IF(OR(D141=0,D145="　",G157=""),"",_xlfn.IFS(MID(D147,1,3)="のり面",IF(1*MID(D145,4,1)=5,_xlfn.IFS(1*MID(D145,6,FIND("H",D145,6)-6)&lt;5,"ST140",1*MID(D145,6,FIND("H",D145,6)-6)&lt;8,"ST170",1*MID(D145,6,FIND("H",D145,6)-6)&lt;13,"ST220"),_xlfn.IFS(1*MID(D145,6,FIND("H",D145,6)-6)&lt;4,"ST140",1*MID(D145,6,FIND("H",D145,6)-6)&lt;5,"ST170",1*MID(D145,6,FIND("H",D145,6)-6)&lt;8,"ST220",1*MID(D145,6,FIND("H",D145,6)-6)&lt;20,"非該当"))&amp;"、FCD450相当",OR(MID(D147,1,3)="構造物",MID(D147,1,3)="土留め",MID(D147,1,3)="個別台"),D145&amp;"用"&amp;_xlfn.IFS(MID(D147,1,3)="構造物","",MID(D147,1,3)="土留め",IF(1*MID(D145,4,1)=5,_xlfn.SWITCH(1*MID(D145,6,FIND("H",D145,6)-6),1,"DA110",2,"DA220",3,"DA330",4,"DA440",5,"DA550",6,"DA660",7,"DA770",8,"DA880",9,"DA990",10,"DA1100",11,"DA1210",12,"DA1320"),_xlfn.SWITCH(1*MID(D145,6,FIND("H",D145,6)-6),1,"DA220",2,"DA330",3,"DA550",4,"DA660",5,"DA880",6,"DA990",7,"DA1100",8,"DA1320",9,"DA1410",10,"DA1570",11,"DA1730",12,"DA1880",13,"DA2040",14,"DA2200")),MID(D147,1,3)="個別台",D160)))&amp;IF(OR(D141=0,D145="　",G157=""),"","、"&amp;_xlfn.IFS(MID(D143,1,3)="防食Ⅱ","HDZT77めっき",MID(D143,5,2)="塩害","ｱﾙﾐﾅｲｽﾞ処理",MID(D143,5,2)="酸性","重防食処理"))</f>
        <v>ST140、FCD450相当、HDZT77めっき</v>
      </c>
      <c r="I157" s="52" t="str">
        <f>IF(OR(D141=0,D145="　",G157=""),"","n=1")</f>
        <v>n=1</v>
      </c>
      <c r="J157" s="16" t="str">
        <f>IF(OR(D141=0,D145="　",G157=""),"","台")</f>
        <v>台</v>
      </c>
      <c r="K157" s="32">
        <f>IF(OR(D141=0,D145="　",G157=""),"",1)</f>
        <v>1</v>
      </c>
      <c r="L157" s="68">
        <f>IFERROR(D144*K157,"")</f>
        <v>1</v>
      </c>
    </row>
    <row r="158" spans="2:12" ht="11.1" customHeight="1">
      <c r="B158" s="50" t="s">
        <v>20</v>
      </c>
      <c r="C158" s="10" t="s">
        <v>10</v>
      </c>
      <c r="D158" s="63">
        <f>IF(OR(D141=0,D145="　"),"──",SUM(D151,D155:D157))</f>
        <v>15.2</v>
      </c>
      <c r="F158" s="24">
        <v>18</v>
      </c>
      <c r="G158" s="17" t="str">
        <f>IF(OR(D141=0,D145="　",MID(D147,1,3)&lt;&gt;"のり面",1*MID(D148,1,2)=1,1*MID(D148,1,2)&gt;=5),"","補剛板")</f>
        <v>補剛板</v>
      </c>
      <c r="H158" s="46" t="str" cm="1">
        <f t="array" ref="H158">IF(OR(D141=0,D145="　",G158=""),"",IF(MID(D145,4,1)="5","□"&amp;_xlfn.SWITCH(1*MID(D145,6,FIND("H",D145,6)-6),1,"210φ131t12",2,"210φ131t12",3,"240φ131t12",4,"270φ131t12",5,"280φ143t12",6,"310φ143t16",7,"350φ143t19",8,"350φ180t19",9,"350φ180t19",10,"350φ180t19",11,"350φ180t22",12,"350φ180t22"),"□"&amp;_xlfn.SWITCH(1*MID(D145,6,FIND("H",D145,6)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141=0,D145="　",G158=""),"","、"&amp;_xlfn.IFS(MID(D143,1,3)="防食Ⅱ","HDZT77めっき",MID(D143,5,2)="塩害","ｱﾙﾐﾅｲｽﾞ処理",MID(D143,5,2)="酸性","重防食処理"))</f>
        <v>□210φ131t12、SS400相当、HDZT77めっき</v>
      </c>
      <c r="I158" s="52" t="str">
        <f>IF(OR(D141=0,D145="　",G158=""),"","n=1")</f>
        <v>n=1</v>
      </c>
      <c r="J158" s="16" t="str">
        <f>IF(OR(D141=0,D145="　",G158=""),"","枚")</f>
        <v>枚</v>
      </c>
      <c r="K158" s="32">
        <f>IF(OR(D141=0,D145="　",G158=""),"",1)</f>
        <v>1</v>
      </c>
      <c r="L158" s="68">
        <f>IFERROR(D144*K158,"")</f>
        <v>1</v>
      </c>
    </row>
    <row r="159" spans="2:12" ht="11.1" customHeight="1">
      <c r="B159" s="51" t="s">
        <v>15</v>
      </c>
      <c r="C159" s="12" t="s">
        <v>10</v>
      </c>
      <c r="D159" s="64">
        <f>IF(OR(D141=0,D145="　"),"──",0.25)</f>
        <v>0.25</v>
      </c>
      <c r="F159" s="24">
        <v>19</v>
      </c>
      <c r="G159" s="17" t="str" cm="1">
        <f t="array" ref="G159">_xlfn.IFS(OR(D141=0,D145="　",MID(D146,1,3)="ｱﾙﾐ",1*MID(D148,1,2)=1,1*MID(D148,1,2)&gt;=5),"",MID(D146,1,3)&lt;&gt;"ｱﾙﾐ","テンドン補修用塗料")</f>
        <v>テンドン補修用塗料</v>
      </c>
      <c r="H159" s="38" t="str" cm="1">
        <f t="array" ref="H159">_xlfn.IFS(OR(D141=0,D145="　",MID(D146,1,3)="ｱﾙﾐ",1*MID(D148,1,2)=1,1*MID(D148,1,2)&gt;=5),"",MID(D146,1,3)&lt;&gt;"ｱﾙﾐ","エポキシ樹脂")</f>
        <v>エポキシ樹脂</v>
      </c>
      <c r="I159" s="52" t="str" cm="1">
        <f t="array" ref="I159">_xlfn.IFS(OR(D141=0,D145="　",MID(D146,1,3)="ｱﾙﾐ",1*MID(D148,1,2)=1,1*MID(D148,1,2)&gt;=5),"",MID(D146,1,3)&lt;&gt;"ｱﾙﾐ","W=PC鋼より線本数×"&amp;IF(MID(D145,4,1)="5","0.28","0.4"))</f>
        <v>W=PC鋼より線本数×0.28</v>
      </c>
      <c r="J159" s="16" t="str" cm="1">
        <f t="array" ref="J159">_xlfn.IFS(OR(D141=0,D145="　",MID(D146,1,3)="ｱﾙﾐ",1*MID(D148,1,2)=1,1*MID(D148,1,2)&gt;=5),"",MID(D146,1,3)&lt;&gt;"ｱﾙﾐ","g")</f>
        <v>g</v>
      </c>
      <c r="K159" s="77" cm="1">
        <f t="array" ref="K159">_xlfn.IFS(OR(D141=0,D145="　",MID(D146,1,3)="ｱﾙﾐ",1*MID(D148,1,2)=1,1*MID(D148,1,2)&gt;=5),"",MID(D146,1,3)&lt;&gt;"ｱﾙﾐ",MID(D145,6,FIND("H",D145,6)-6)*IF(MID(D145,4,1)="5",0.28,0.4))</f>
        <v>0.56000000000000005</v>
      </c>
      <c r="L159" s="78">
        <f>IFERROR(D144*K159,"")</f>
        <v>0.56000000000000005</v>
      </c>
    </row>
    <row r="160" spans="2:12" ht="11.1" customHeight="1">
      <c r="B160" s="65" t="s">
        <v>32</v>
      </c>
      <c r="C160" s="3" t="s">
        <v>33</v>
      </c>
      <c r="D160" s="76"/>
      <c r="F160" s="24">
        <v>20</v>
      </c>
      <c r="G160" s="17" t="str" cm="1">
        <f t="array" ref="G160">_xlfn.IFS(OR(D141=0,D145="　",MID(D146,1,3)="ｱﾙﾐ",1*MID(D148,1,2)=1,1*MID(D148,1,2)&gt;=5),"",MID(D146,1,3)&lt;&gt;"ｱﾙﾐ","長期防錆スプレー")</f>
        <v>長期防錆スプレー</v>
      </c>
      <c r="H160" s="38" t="str" cm="1">
        <f t="array" ref="H160">_xlfn.IFS(OR(D141=0,D145="　",MID(D146,1,3)="ｱﾙﾐ",1*MID(D148,1,2)=1,1*MID(D148,1,2)&gt;=5),"",MID(D146,1,3)&lt;&gt;"ｱﾙﾐ","防錆オイル")</f>
        <v>防錆オイル</v>
      </c>
      <c r="I160" s="52" t="str" cm="1">
        <f t="array" ref="I160">_xlfn.IFS(OR(D141=0,D145="　",MID(D146,1,3)="ｱﾙﾐ",1*MID(D148,1,2)=1,1*MID(D148,1,2)&gt;=5),"",MID(D146,1,3)&lt;&gt;"ｱﾙﾐ","n=0.01×(PC鋼より線本数+"&amp;IF(MID(D145,4,1)="5","6","12")&amp;")")</f>
        <v>n=0.01×(PC鋼より線本数+6)</v>
      </c>
      <c r="J160" s="16" t="str" cm="1">
        <f t="array" ref="J160">_xlfn.IFS(OR(D141=0,D145="　",MID(D146,1,3)="ｱﾙﾐ",1*MID(D148,1,2)=1,1*MID(D148,1,2)&gt;=5),"",MID(D146,1,3)&lt;&gt;"ｱﾙﾐ","缶")</f>
        <v>缶</v>
      </c>
      <c r="K160" s="77" cm="1">
        <f t="array" ref="K160">_xlfn.IFS(OR(D141=0,D145="　",MID(D146,1,3)="ｱﾙﾐ",1*MID(D148,1,2)=1,1*MID(D148,1,2)&gt;=5),"",MID(D146,1,3)&lt;&gt;"ｱﾙﾐ",0.01*(IF(MID(D145,4,1)="5",6,12)+MID(LEFT(D145,LEN(D145)-1),6,2)))</f>
        <v>0.08</v>
      </c>
      <c r="L160" s="78">
        <f>IFERROR(D144*K160,"")</f>
        <v>0.08</v>
      </c>
    </row>
    <row r="161" spans="2:12" ht="11.1" customHeight="1">
      <c r="F161" s="24">
        <v>21</v>
      </c>
      <c r="G161" s="17" t="str">
        <f>IF(OR(D141=0,D145="　",1*MID(D148,1,2)&lt;=1,1*MID(D148,1,2)=3,,1*MID(D148,1,2)=6),"","ﾌﾘｰﾊﾟｯｶｰ注入ﾎｰｽ")</f>
        <v/>
      </c>
      <c r="H161" s="29" t="str">
        <f>IF(OR(D141=0,D145="　",1*MID(D148,1,2)&lt;=1,1*MID(D148,1,2)=3,,1*MID(D148,1,2)=6),"","φ16/20、ポリエチレン")</f>
        <v/>
      </c>
      <c r="I161" s="29" t="str">
        <f>IF(OR(D141=0,D145="　",1*MID(D148,1,2)&lt;=1,1*MID(D148,1,2)=3,,1*MID(D148,1,2)=6),"","L=自由長+緊張部長")</f>
        <v/>
      </c>
      <c r="J161" s="16" t="str">
        <f>IF(OR(D141=0,D145="　",1*MID(D148,1,2)&lt;=1,1*MID(D148,1,2)=3,,1*MID(D148,1,2)=6),"","m")</f>
        <v/>
      </c>
      <c r="K161" s="30" t="str">
        <f>IF(OR(D141=0,D145="　",1*MID(D148,1,2)&lt;=1,1*MID(D148,1,2)=3,,1*MID(D148,1,2)=6),"",D155+D156)</f>
        <v/>
      </c>
      <c r="L161" s="67" t="str">
        <f>IFERROR(D144*K161,"")</f>
        <v/>
      </c>
    </row>
    <row r="162" spans="2:12" ht="11.1" customHeight="1">
      <c r="F162" s="24">
        <v>22</v>
      </c>
      <c r="G162" s="17" t="str">
        <f>IF(OR(D141=0,D145="　",1*MID(D148,1,2)&lt;=1,1*MID(D148,1,2)=3,,1*MID(D148,1,2)=6),"","フリーパッカー")</f>
        <v/>
      </c>
      <c r="H162" s="52" t="str" cm="1">
        <f t="array" ref="H162">IF(OR(D141=0,D145="　",1*MID(D148,1,2)&lt;=1,1*MID(D148,1,2)=3,1*MID(D148,1,2)=6),"",_xlfn.SWITCH(D152,90,"PA-170",115,"PA-200",135,"PA-240",146,"PA-290",165,"PA-350",216,"PA-420")&amp;"、織布")</f>
        <v/>
      </c>
      <c r="I162" s="52" t="str">
        <f>IF(OR(D141=0,D145="　",1*MID(D148,1,2)&lt;=1,1*MID(D148,1,2)=3,1*MID(D148,1,2)=6),"","L=自由長+0.5")</f>
        <v/>
      </c>
      <c r="J162" s="16" t="str">
        <f>IF(OR(D141=0,D145="　",1*MID(D148,1,2)&lt;=1,1*MID(D148,1,2)=3,,1*MID(D148,1,2)=6),"","m")</f>
        <v/>
      </c>
      <c r="K162" s="30" t="str">
        <f>IF(OR(D141=0,D145="　",1*MID(D148,1,2)&lt;=1,1*MID(D148,1,2)=3,,1*MID(D148,1,2)=6),"",D155+0.5)</f>
        <v/>
      </c>
      <c r="L162" s="69" t="str">
        <f>IFERROR(D144*K162,"")</f>
        <v/>
      </c>
    </row>
    <row r="163" spans="2:12" ht="11.1" customHeight="1">
      <c r="F163" s="24">
        <v>23</v>
      </c>
      <c r="G163" s="17" t="str">
        <f>IF(OR(D141=0,D145="　",1*MID(D148,1,2)&lt;=1,1*MID(D148,1,2)=3,,1*MID(D148,1,2)=6),"","ﾌﾘｰﾊﾟｯｶｰ取付加工")</f>
        <v/>
      </c>
      <c r="H163" s="29" t="str">
        <f>IF(OR(D141=0,D145="　",1*MID(D148,1,2)&lt;=1,1*MID(D148,1,2)=3,,1*MID(D148,1,2)=6),"","材工")</f>
        <v/>
      </c>
      <c r="I163" s="29" t="str">
        <f>IF(OR(D141=0,D145="　",1*MID(D148,1,2)&lt;=1,1*MID(D148,1,2)=3,,1*MID(D148,1,2)=6),"","n=1")</f>
        <v/>
      </c>
      <c r="J163" s="16" t="str">
        <f>IF(OR(D141=0,D145="　",1*MID(D148,1,2)&lt;=1,1*MID(D148,1,2)=3,,1*MID(D148,1,2)=6),"","式")</f>
        <v/>
      </c>
      <c r="K163" s="32" t="str">
        <f>IF(OR(D141=0,D145="　",1*MID(D148,1,2)&lt;=1,1*MID(D148,1,2)=3,,1*MID(D148,1,2)=6),"",1)</f>
        <v/>
      </c>
      <c r="L163" s="70" t="str">
        <f>IFERROR(D144*K163,"")</f>
        <v/>
      </c>
    </row>
    <row r="164" spans="2:12" ht="11.1" customHeight="1">
      <c r="F164" s="24">
        <v>24</v>
      </c>
      <c r="G164" s="17" t="str">
        <f>IF(OR(D141=0,D145="　",1*MID(D148,1,2)&lt;=2,1*MID(D148,1,2)=5),"","フリクションパッカー")</f>
        <v/>
      </c>
      <c r="H164" s="38" t="str" cm="1">
        <f t="array" ref="H164">IF(OR(D141=0,D145="　",1*MID(D148,1,2)&lt;=2,1*MID(D148,1,2)=5),"",_xlfn.SWITCH(D152,90,"FP125",115,"FP125",135,"FP150",146,"FP175",165,"FP200",216,"FP235")&amp;"、パイレン布")</f>
        <v/>
      </c>
      <c r="I164" s="38" t="str">
        <f>IF(OR(D141=0,D145="　",1*MID(D148,1,2)&lt;=2,1*MID(D148,1,2)=5),"","L=アンカー体長+0.5")</f>
        <v/>
      </c>
      <c r="J164" s="16" t="str">
        <f>IF(OR(D141=0,D145="　",1*MID(D148,1,2)&lt;=2,1*MID(D148,1,2)=5),"","m")</f>
        <v/>
      </c>
      <c r="K164" s="30" t="str">
        <f>IF(OR(D141=0,D145="　",1*MID(D148,1,2)&lt;=2,1*MID(D148,1,2)=5),"",D151+0.5)</f>
        <v/>
      </c>
      <c r="L164" s="68" t="str">
        <f>IFERROR(D144*K164,"")</f>
        <v/>
      </c>
    </row>
    <row r="165" spans="2:12" ht="11.1" customHeight="1">
      <c r="F165" s="24">
        <v>25</v>
      </c>
      <c r="G165" s="17" t="str">
        <f>IF(OR(D141=0,D145="　",1*MID(D148,1,2)&lt;=2,1*MID(D148,1,2)=5),"","ﾌﾘｸｼｮﾝﾊﾟｯｶｰ取付加工")</f>
        <v/>
      </c>
      <c r="H165" s="29" t="str">
        <f>IF(OR(D141=0,D145="　",1*MID(D148,1,2)&lt;=2,1*MID(D148,1,2)=5),"","材工")</f>
        <v/>
      </c>
      <c r="I165" s="29" t="str">
        <f>IF(OR(D141=0,D145="　",1*MID(D148,1,2)&lt;=2,1*MID(D148,1,2)=5),"","n=1")</f>
        <v/>
      </c>
      <c r="J165" s="16" t="str">
        <f>IF(OR(D141=0,D145="　",1*MID(D148,1,2)&lt;=2,1*MID(D148,1,2)=5),"","式")</f>
        <v/>
      </c>
      <c r="K165" s="32" t="str">
        <f>IF(OR(D141=0,D145="　",1*MID(D148,1,2)&lt;=2,1*MID(D148,1,2)=5),"",1)</f>
        <v/>
      </c>
      <c r="L165" s="70" t="str">
        <f>IFERROR(D144*K165,"")</f>
        <v/>
      </c>
    </row>
    <row r="166" spans="2:12" ht="11.1" customHeight="1">
      <c r="F166" s="24">
        <v>26</v>
      </c>
      <c r="G166" s="17" t="str">
        <f>IF(OR(D141=0,D145="　",1*MID(D148,1,2)=0,1*MID(D148,1,2)=2,1*MID(D148,1,2)=3,1*MID(D148,1,2)=4),"","試験ﾊﾟｯｶｰ水注入ﾎｰｽ")</f>
        <v/>
      </c>
      <c r="H166" s="38" t="str">
        <f>IF(OR(D141=0,D145="　",1*MID(D148,1,2)=0,1*MID(D148,1,2)=2,1*MID(D148,1,2)=3,1*MID(D148,1,2)=4),"","φ4/6、ナイロン")</f>
        <v/>
      </c>
      <c r="I166" s="38" t="str">
        <f>IF(OR(D141=0,D145="　",1*MID(D148,1,2)=0,1*MID(D148,1,2)=2,1*MID(D148,1,2)=3,1*MID(D148,1,2)=4),"","L=自由長+緊張部長")</f>
        <v/>
      </c>
      <c r="J166" s="79" t="str">
        <f>IF(OR(D141=0,D145="　",1*MID(D148,1,2)=0,1*MID(D148,1,2)=2,1*MID(D148,1,2)=3,1*MID(D148,1,2)=4),"","m")</f>
        <v/>
      </c>
      <c r="K166" s="80" t="str">
        <f>IF(OR(D141=0,D145="　",1*MID(D148,1,2)=0,1*MID(D148,1,2)=2,1*MID(D148,1,2)=3,1*MID(D148,1,2)=4),"",D155+D156)</f>
        <v/>
      </c>
      <c r="L166" s="81" t="str">
        <f>IFERROR(D144*K166,"")</f>
        <v/>
      </c>
    </row>
    <row r="167" spans="2:12" ht="11.1" customHeight="1">
      <c r="F167" s="24">
        <v>27</v>
      </c>
      <c r="G167" s="17" t="str">
        <f>IF(OR(D141=0,D145="　",1*MID(D148,1,2)=0,1*MID(D148,1,2)=2,1*MID(D148,1,2)=3,1*MID(D148,1,2)=4),"","引抜試験パッカー")</f>
        <v/>
      </c>
      <c r="H167" s="38" t="str" cm="1">
        <f t="array" ref="H167">IF(OR(D141=0,D145="　",1*MID(D148,1,2)=0,1*MID(D148,1,2)=2,1*MID(D148,1,2)=3,1*MID(D148,1,2)=4),"",_xlfn.SWITCH(D152,90,"PU90",115,"PU115",135,"PU135",146,"PU146",165,"PU165")&amp;"、3層構造(鋼管･ゴム･布)")</f>
        <v/>
      </c>
      <c r="I167" s="38" t="str">
        <f>IF(OR(D141=0,D145="　",1*MID(D148,1,2)=0,1*MID(D148,1,2)=2,1*MID(D148,1,2)=3,1*MID(D148,1,2)=4),"","n=1")</f>
        <v/>
      </c>
      <c r="J167" s="79" t="str">
        <f>IF(OR(D141=0,D145="　",1*MID(D148,1,2)=0,1*MID(D148,1,2)=2,1*MID(D148,1,2)=3,1*MID(D148,1,2)=4),"","式")</f>
        <v/>
      </c>
      <c r="K167" s="32" t="str" cm="1">
        <f t="array" ref="K167">IF(OR(D141=0,D145="　",1*MID(D148,1,2)=0,1*MID(D148,1,2)=2,1*MID(D148,1,2)=3,1*MID(D148,1,2)=4),"",_xlfn.IFS(OR(1*MID(D148,1,2)=1,1*MID(D148,1,2)&gt;=5),1))</f>
        <v/>
      </c>
      <c r="L167" s="68" t="str">
        <f>IFERROR(D144*K167,"")</f>
        <v/>
      </c>
    </row>
    <row r="168" spans="2:12" ht="11.1" customHeight="1">
      <c r="F168" s="24">
        <v>28</v>
      </c>
      <c r="G168" s="17" t="str">
        <f>IF(OR(D141=0,D145="　",1*MID(D148,1,2)=0,1*MID(D148,1,2)=2,1*MID(D148,1,2)=3,1*MID(D148,1,2)=4),"","引抜試験パッカー取付加工")</f>
        <v/>
      </c>
      <c r="H168" s="38" t="str">
        <f>IF(OR(D141=0,D145="　",1*MID(D148,1,2)=0,1*MID(D148,1,2)=2,1*MID(D148,1,2)=3,1*MID(D148,1,2)=4),"","材工")</f>
        <v/>
      </c>
      <c r="I168" s="38" t="str">
        <f>IF(OR(D141=0,D145="　",1*MID(D148,1,2)=0,1*MID(D148,1,2)=2,1*MID(D148,1,2)=3,1*MID(D148,1,2)=4),"","n=1")</f>
        <v/>
      </c>
      <c r="J168" s="79" t="str" cm="1">
        <f t="array" ref="J168">IF(OR(D141=0,D145="　",1*MID(D148,1,2)=0,1*MID(D148,1,2)=2,1*MID(D148,1,2)=3,1*MID(D148,1,2)=4),"",_xlfn.IFS(OR(1*MID(D148,1,2)=1,1*MID(D148,1,2)&gt;=5),"式"))</f>
        <v/>
      </c>
      <c r="K168" s="32" t="str" cm="1">
        <f t="array" ref="K168">IF(OR(D141=0,D145="　",1*MID(D148,1,2)=0,1*MID(D148,1,2)=2,1*MID(D148,1,2)=3,1*MID(D148,1,2)=4),"",_xlfn.IFS(OR(1*MID(D148,1,2)=1,1*MID(D148,1,2)&gt;=5),1))</f>
        <v/>
      </c>
      <c r="L168" s="68" t="str">
        <f>IFERROR(D144*K168,"")</f>
        <v/>
      </c>
    </row>
    <row r="169" spans="2:12" ht="11.1" customHeight="1">
      <c r="F169" s="24">
        <v>29</v>
      </c>
      <c r="G169" s="17" t="str">
        <f>IF(OR(D141=0,D145="　",1*MID(D148,1,2)=0,1*MID(D148,1,2)=2,1*MID(D148,1,2)=3,1*MID(D148,1,2)=4),"","自由長洗浄ﾎｰｽ")</f>
        <v/>
      </c>
      <c r="H169" s="38" t="str">
        <f>IF(OR(D141=0,D145="　",1*MID(D148,1,2)=0,1*MID(D148,1,2)=2,1*MID(D148,1,2)=3,1*MID(D148,1,2)=4),"","φ16/20、ポリエチレン")</f>
        <v/>
      </c>
      <c r="I169" s="38" t="str">
        <f>IF(OR(D141=0,D145="　",1*MID(D148,1,2)=0,1*MID(D148,1,2)=2,1*MID(D148,1,2)=3,1*MID(D148,1,2)=4),"","L=自由長+0.5")</f>
        <v/>
      </c>
      <c r="J169" s="79" t="str">
        <f>IF(OR(D141=0,D145="　",1*MID(D148,1,2)=0,1*MID(D148,1,2)=2,1*MID(D148,1,2)=3,1*MID(D148,1,2)=4),"","m")</f>
        <v/>
      </c>
      <c r="K169" s="32" t="str">
        <f>IF(OR(D141=0,D145="　",1*MID(D148,1,2)=0,1*MID(D148,1,2)=2,1*MID(D148,1,2)=3,1*MID(D148,1,2)=4),"",D155+0.5)</f>
        <v/>
      </c>
      <c r="L169" s="81" t="str">
        <f>IFERROR(D144*K169,"")</f>
        <v/>
      </c>
    </row>
    <row r="170" spans="2:12" ht="11.1" customHeight="1">
      <c r="D170" s="1" t="s">
        <v>9</v>
      </c>
      <c r="F170" s="56">
        <v>30</v>
      </c>
      <c r="G170" s="82" t="str">
        <f>IF(OR(D141=0,D145="　",1*MID(D148,1,2)&lt;=2,1*MID(D148,1,2)=5,MID(D170,6,2)&lt;&gt;"あり"),"","確認ホース")</f>
        <v/>
      </c>
      <c r="H170" s="83" t="str">
        <f>IF(OR(D141=0,D145="　",1*MID(D148,1,2)&lt;=2,1*MID(D148,1,2)=5,MID(D170,6,2)&lt;&gt;"あり"),"","φ17、ポリエチレン")</f>
        <v/>
      </c>
      <c r="I170" s="83"/>
      <c r="J170" s="84" t="str">
        <f>IF(OR(D141=0,D145="　",1*MID(D148,1,2)&lt;=2,1*MID(D148,1,2)=5,MID(D170,6,2)&lt;&gt;"あり"),"","m")</f>
        <v/>
      </c>
      <c r="K170" s="85" t="str">
        <f>IF(OR(D140=0,D145="　",1*MID(D148,1,2)&lt;=2,1*MID(D148,1,2)=5,MID(D170,6,2)&lt;&gt;"あり"),"",0.5+MROUND(D155+D157,0.1))</f>
        <v/>
      </c>
      <c r="L170" s="86" t="str">
        <f>IFERROR(D144*K170,"")</f>
        <v/>
      </c>
    </row>
    <row r="172" spans="2:12" ht="11.1" customHeight="1">
      <c r="B172" s="19" t="s">
        <v>1</v>
      </c>
      <c r="D172" s="4"/>
      <c r="G172" s="73" t="s">
        <v>39</v>
      </c>
    </row>
    <row r="173" spans="2:12" ht="11.1" customHeight="1">
      <c r="G173" s="99">
        <f>D174</f>
        <v>6</v>
      </c>
      <c r="H173" s="55" t="str">
        <f>IF(D175=0,"",D176&amp;" "&amp;D179&amp; "："&amp;TEXT(D192,"L=##0.00")&amp;"m"&amp;TEXT(D190,",L1=##0.00")&amp;"m"&amp;TEXT(D189,",Lf=##0.00")&amp;"m"&amp;TEXT(D185,",LA=##0.00")&amp;"m"&amp;TEXT(D191,",L2=##0.00")&amp;"m")</f>
        <v>(6)2列目：2段/4段 EHD5-2H：L=11.70m,L1=1.00m,Lf=7.50m,LA=3.00m,L2=0.20m</v>
      </c>
      <c r="I173" s="55"/>
      <c r="J173" s="18"/>
    </row>
    <row r="174" spans="2:12" ht="11.1" customHeight="1">
      <c r="B174" s="13" t="s">
        <v>2</v>
      </c>
      <c r="C174" s="3" t="s">
        <v>3</v>
      </c>
      <c r="D174" s="98">
        <f>1+(ROW()-ROW($D$4))/34</f>
        <v>6</v>
      </c>
      <c r="F174" s="20"/>
      <c r="G174" s="21" t="s">
        <v>21</v>
      </c>
      <c r="H174" s="22" t="s">
        <v>22</v>
      </c>
      <c r="I174" s="22" t="s">
        <v>38</v>
      </c>
      <c r="J174" s="23" t="s">
        <v>23</v>
      </c>
      <c r="K174" s="22" t="s">
        <v>24</v>
      </c>
      <c r="L174" s="3" t="s">
        <v>4</v>
      </c>
    </row>
    <row r="175" spans="2:12" ht="11.1" customHeight="1">
      <c r="B175" s="28" t="s">
        <v>25</v>
      </c>
      <c r="C175" s="5" t="s">
        <v>26</v>
      </c>
      <c r="D175" s="6">
        <v>1</v>
      </c>
      <c r="F175" s="24">
        <v>1</v>
      </c>
      <c r="G175" s="25" t="str">
        <f>IF(OR(D175=0,D179="　"),"","硅砂付着ECFﾃﾝﾄﾞﾝ")</f>
        <v>硅砂付着ECFﾃﾝﾄﾞﾝ</v>
      </c>
      <c r="H175" s="26" t="str">
        <f>IF(OR(D175=0,D179="　"),"",D179&amp;" ("&amp;MID(D179,6,FIND("H",D179,6)-6)&amp;IF(MID(D179,4,1)="5","φ12.7","φ15.2")&amp;")")</f>
        <v>EHD5-2H (2φ12.7)</v>
      </c>
      <c r="I175" s="57" t="str">
        <f>IF(OR(D175=0,D179="　"),"","W=テンドン長×PC鋼より線本数×"&amp;IF(MID(D179,4,1)="5","0.774","1.101")&amp;"kg/m")</f>
        <v>W=テンドン長×PC鋼より線本数×0.774kg/m</v>
      </c>
      <c r="J175" s="14" t="str">
        <f>IF(OR(D175=0,D179="　"),"","kg")</f>
        <v>kg</v>
      </c>
      <c r="K175" s="27">
        <f>IF(OR(D175=0,D179="　"),"",MROUND(D192*MID(D179,6,FIND("H",D179,6)-6)*IF(MID(D179,4,1)="5","0.774","1.101"),0.01))</f>
        <v>18.11</v>
      </c>
      <c r="L175" s="15">
        <f>IFERROR(D178*K175,"")</f>
        <v>18.11</v>
      </c>
    </row>
    <row r="176" spans="2:12" ht="11.1" customHeight="1">
      <c r="B176" s="31" t="s">
        <v>45</v>
      </c>
      <c r="C176" s="71" t="s">
        <v>6</v>
      </c>
      <c r="D176" s="74" t="s">
        <v>112</v>
      </c>
      <c r="F176" s="24">
        <v>2</v>
      </c>
      <c r="G176" s="17" t="str">
        <f>IF(OR(D175=0,D179="　"),"","アンカー工場加工")</f>
        <v>アンカー工場加工</v>
      </c>
      <c r="H176" s="29"/>
      <c r="I176" s="46" t="str">
        <f>IF(OR(D175=0,D179="　"),"","L=テンドン長")</f>
        <v>L=テンドン長</v>
      </c>
      <c r="J176" s="16" t="str">
        <f>IF(OR(D175=0,D179="　"),"","m")</f>
        <v>m</v>
      </c>
      <c r="K176" s="30">
        <f>IF(OR(D175=0,D179="　"),"",MROUND(D192,0.1))</f>
        <v>11.700000000000001</v>
      </c>
      <c r="L176" s="67">
        <f>IFERROR(D178*K176,"")</f>
        <v>11.700000000000001</v>
      </c>
    </row>
    <row r="177" spans="2:12" ht="11.1" customHeight="1">
      <c r="B177" s="34" t="s">
        <v>7</v>
      </c>
      <c r="C177" s="49" t="s">
        <v>6</v>
      </c>
      <c r="D177" s="2" t="s">
        <v>34</v>
      </c>
      <c r="F177" s="24">
        <v>3</v>
      </c>
      <c r="G177" s="17" t="str">
        <f>IF(OR(D175=0,D179="　",1*MID(D182,1,2)=1,1*MID(D182,1,2)&gt;=5),"","頭部キャップ")</f>
        <v>頭部キャップ</v>
      </c>
      <c r="H177" s="29" t="str" cm="1">
        <f t="array" ref="H177">IF(OR(D175=0,D179="　",1*MID(D182,1,2)=1,1*MID(D182,1,2)&gt;=5),"",IF(MID(D179,4,1)="5",_xlfn.SWITCH(1*MID(D179,6,FIND("H",D179,6)-6),1,"S",2,"S",3,"S",4,"S",5,"M",6,"M",7,"M",8,"L",9,"L",10,"L",11,"L",12,"L"),_xlfn.SWITCH(1*MID(D179,6,FIND("H",D179,6)-6),1,"S",2,"S",3,"M",4,"M",5,"L",6,"L",7,"L",8,"LL",9,"LL",10,"LL",11,"LL",12,"LL",13,"LL",14,"LL",15,"3L",16,"3L",17,"3L",18,"3L",19,"3L"))&amp;"型"&amp;MID(D180,IF(MID(D180,1,1)="G",4,1),10)&amp;IF(OR(MID(D180,1,2)="透明",MID(D180,1,2)="5窓"),"、PC樹脂","")&amp;IF(MID(D180,4,2)="鋼製","、SS400相当、HDZT77めっき","、ｱﾙﾐAC4C相当"))&amp;_xlfn.IFS(OR(D175=0,D179="　",MID(D177,1,3)="防食Ⅱ"),"",MID(D177,5,2)="塩害","、ﾀｹｺｰﾄ処理",MID(D177,5,2)="酸性","、重防食処理")</f>
        <v>S型透明ｷｬｯﾌﾟ、PC樹脂、ｱﾙﾐAC4C相当</v>
      </c>
      <c r="I177" s="52" t="str">
        <f>IF(OR(D175=0,D179="　",1*MID(D182,1,2)=1,1*MID(D182,1,2)&gt;=5),"","n=1")</f>
        <v>n=1</v>
      </c>
      <c r="J177" s="16" t="str">
        <f>IF(OR(D175=0,D179="　",1*MID(D182,1,2)=1,1*MID(D182,1,2)&gt;=5),"","個")</f>
        <v>個</v>
      </c>
      <c r="K177" s="32">
        <f>IF(OR(D175=0,D179="　",1*MID(D182,1,2)=1,1*MID(D182,1,2)&gt;=5),"",1)</f>
        <v>1</v>
      </c>
      <c r="L177" s="68">
        <f>IFERROR(D178*K177,"")</f>
        <v>1</v>
      </c>
    </row>
    <row r="178" spans="2:12" ht="11.1" customHeight="1">
      <c r="B178" s="31" t="s">
        <v>27</v>
      </c>
      <c r="C178" s="10" t="s">
        <v>5</v>
      </c>
      <c r="D178" s="75">
        <v>1</v>
      </c>
      <c r="F178" s="24">
        <v>4</v>
      </c>
      <c r="G178" s="17" t="str">
        <f>IF(OR(D175=0,D179="　",1*MID(D182,1,2)=1,1*MID(D182,1,2)&gt;=5),"","アンカーヘッド")</f>
        <v>アンカーヘッド</v>
      </c>
      <c r="H178" s="29" t="str" cm="1">
        <f t="array" ref="H178">IF(OR(D175=0,D179="　",1*MID(D182,1,2)=1,1*MID(D182,1,2)&gt;=5),"",IF(MID(D179,4,1)="5","G5"&amp;_xlfn.SWITCH(1*MID(D179,6,FIND("H",D179,6)-6),1,"01",2,"02",3,"03",4,"04",5,"07",6,"07",7,"07",8,"09",9,"09",10,"12",11,"12",12,"12"),"G6"&amp;_xlfn.SWITCH(1*MID(D179,6,FIND("H",D179,6)-6),1,"01",2,"02",3,"03",4,"04",5,"07",6,"07",7,"07",8,"09",9,"09",10,"12",11,"12",12,"12",13,"14",14,"14",15,"19",16,"19",17,"19",18,"19",19,"19"))&amp;"、S45C相当")&amp;IF(OR(D175=0,D179="　",MID(D180,1,3)="ｱﾙﾐ",1*MID(D182,1,2)=1,1*MID(D182,1,2)&gt;=5),"","、無電解Niめっき")</f>
        <v>G502、S45C相当、無電解Niめっき</v>
      </c>
      <c r="I178" s="52" t="str">
        <f>IF(OR(D175=0,D179="　",1*MID(D182,1,2)=1,1*MID(D182,1,2)&gt;=5),"","n=1")</f>
        <v>n=1</v>
      </c>
      <c r="J178" s="16" t="str">
        <f>IF(OR(D175=0,D179="　",1*MID(D182,1,2)=1,1*MID(D182,1,2)&gt;=5),"","個")</f>
        <v>個</v>
      </c>
      <c r="K178" s="32">
        <f>IF(OR(D175=0,D179="　",1*MID(D182,1,2)=1,1*MID(D182,1,2)&gt;=5),"",1)</f>
        <v>1</v>
      </c>
      <c r="L178" s="68">
        <f>IFERROR(D178*K178,"")</f>
        <v>1</v>
      </c>
    </row>
    <row r="179" spans="2:12" ht="11.1" customHeight="1">
      <c r="B179" s="33" t="s">
        <v>28</v>
      </c>
      <c r="C179" s="71" t="s">
        <v>6</v>
      </c>
      <c r="D179" s="7" t="s">
        <v>115</v>
      </c>
      <c r="F179" s="24">
        <v>5</v>
      </c>
      <c r="G179" s="17" t="str">
        <f>IF(OR(D175=0,D179="　",1*MID(D182,1,2)=1,1*MID(D182,1,2)&gt;=5),"","ナット")</f>
        <v>ナット</v>
      </c>
      <c r="H179" s="29" t="str" cm="1">
        <f t="array" ref="H179">IF(OR(D175=0,D179="　",1*MID(D182,1,2)=1,1*MID(D182,1,2)&gt;=5),"",IF(MID(D179,4,1)="5","G5"&amp;_xlfn.SWITCH(1*MID(D179,6,FIND("H",D179,6)-6),1,"01",2,"02",3,"03",4,"04",5,"07",6,"07",7,"07",8,"09",9,"09",10,"12",11,"12",12,"12"),"G6"&amp;_xlfn.SWITCH(1*MID(D179,6,FIND("H",D179,6)-6),1,"01",2,"02",3,"03",4,"04",5,"07",6,"07",7,"07",8,"09",9,"09",10,"12",11,"12",12,"12",13,"14",14,"14",15,"19",16,"19",17,"19",18,"19",19,"19"))&amp;"、S45C相当")&amp;IF(OR(D175=0,D179="　",MID(D180,1,3)="ｱﾙﾐ",1*MID(D182,1,2)=1,1*MID(D182,1,2)&gt;=5),"","、無電解Niめっき")</f>
        <v>G502、S45C相当、無電解Niめっき</v>
      </c>
      <c r="I179" s="52" t="str">
        <f>IF(OR(D175=0,D179="　",1*MID(D182,1,2)=1,1*MID(D182,1,2)&gt;=5),"","n=1")</f>
        <v>n=1</v>
      </c>
      <c r="J179" s="16" t="str">
        <f>IF(OR(D175=0,D179="　",1*MID(D182,1,2)=1,1*MID(D182,1,2)&gt;=5),"","個")</f>
        <v>個</v>
      </c>
      <c r="K179" s="32">
        <f>IF(OR(D175=0,D179="　",1*MID(D182,1,2)=1,1*MID(D182,1,2)&gt;=5),"",1)</f>
        <v>1</v>
      </c>
      <c r="L179" s="68">
        <f>IFERROR(D178*K179,"")</f>
        <v>1</v>
      </c>
    </row>
    <row r="180" spans="2:12" ht="11.1" customHeight="1">
      <c r="B180" s="35" t="s">
        <v>29</v>
      </c>
      <c r="C180" s="49" t="s">
        <v>6</v>
      </c>
      <c r="D180" s="2" t="s">
        <v>35</v>
      </c>
      <c r="F180" s="24">
        <v>6</v>
      </c>
      <c r="G180" s="17" t="str">
        <f>IF(OR(D175=0,D179="　",1*MID(D182,1,2)=1,1*MID(D182,1,2)&gt;=5),"","くさび")</f>
        <v>くさび</v>
      </c>
      <c r="H180" s="29" t="str">
        <f>IF(OR(D175=0,D179="　",1*MID(D182,1,2)=1,1*MID(D182,1,2)&gt;=5),"",IF(1*MID(D179,4,1)=5,"ECF12.7","ECF15.2")&amp;"、SCM415相当")&amp;IF(OR(D175=0,D179="　",MID(D180,1,3)="ｱﾙﾐ",1*MID(D182,1,2)=1,1*MID(D182,1,2)&gt;=5),"","、無電解Niめっき")</f>
        <v>ECF12.7、SCM415相当、無電解Niめっき</v>
      </c>
      <c r="I180" s="52" t="str">
        <f>IF(OR(D175=0,D179="　",1*MID(D182,1,2)=1,1*MID(D182,1,2)&gt;=5),"","n=1")</f>
        <v>n=1</v>
      </c>
      <c r="J180" s="16" t="str">
        <f>IF(OR(D175=0,D179="　",1*MID(D182,1,2)=1,1*MID(D182,1,2)&gt;=5),"","式")</f>
        <v>式</v>
      </c>
      <c r="K180" s="32">
        <f>IF(OR(D175=0,D179="　",1*MID(D182,1,2)=1,1*MID(D182,1,2)&gt;=5),"",1)</f>
        <v>1</v>
      </c>
      <c r="L180" s="68">
        <f>IFERROR(D178*K180,"")</f>
        <v>1</v>
      </c>
    </row>
    <row r="181" spans="2:12" ht="11.1" customHeight="1">
      <c r="B181" s="35" t="s">
        <v>8</v>
      </c>
      <c r="C181" s="49" t="s">
        <v>6</v>
      </c>
      <c r="D181" s="2" t="s">
        <v>36</v>
      </c>
      <c r="F181" s="24">
        <v>7</v>
      </c>
      <c r="G181" s="17" t="str">
        <f>IF(OR(D175=0,D179="　",1*MID(D182,1,2)=1,1*MID(D182,1,2)&gt;=5),"","押え板")</f>
        <v>押え板</v>
      </c>
      <c r="H181" s="29" t="str" cm="1">
        <f t="array" ref="H181">IF(OR(D175=0,D179="　",1*MID(D182,1,2)=1,1*MID(D182,1,2)&gt;=5),"",IF(MID(D179,4,1)="5","G5"&amp;_xlfn.SWITCH(1*MID(D179,6,FIND("H",D179,6)-6),1,"01",2,"04",3,"03",4,"04",5,"07",6,"07",7,"07",8,"12",9,"12",10,"12",11,"12",12,"12"),"G6"&amp;_xlfn.SWITCH(1*MID(D179,6,FIND("H",D179,6)-6),1,"01",2,"02",3,"03",4,"04",5,"07",6,"07",7,"07",8,"12",9,"12",10,"12",11,"12",12,"12",13,"14",14,"14",15,"19",16,"19",17,"19",18,"19",19,"19"))&amp;"、SS400相当")&amp;IF(OR(D175=0,D179="　",1*MID(D182,1,2)=1,1*MID(D182,1,2)&gt;=5),"","、"&amp;_xlfn.IFS(MID(D177,1,3)="防食Ⅱ","HDZT77めっき",MID(D177,5,2)="塩害","ｱﾙﾐﾅｲｽﾞ処理",MID(D177,5,2)="酸性","重防食処理"))</f>
        <v>G504、SS400相当、HDZT77めっき</v>
      </c>
      <c r="I181" s="52" t="str">
        <f>IF(OR(D175=0,D179="　",1*MID(D182,1,2)=1,1*MID(D182,1,2)&gt;=5),"","n=1")</f>
        <v>n=1</v>
      </c>
      <c r="J181" s="16" t="str">
        <f>IF(OR(D175=0,D179="　",1*MID(D182,1,2)=1,1*MID(D182,1,2)&gt;=5),"","枚")</f>
        <v>枚</v>
      </c>
      <c r="K181" s="32">
        <f>IF(OR(D175=0,D179="　",1*MID(D182,1,2)=1,1*MID(D182,1,2)&gt;=5),"",1)</f>
        <v>1</v>
      </c>
      <c r="L181" s="68">
        <f>IFERROR(D178*K181,"")</f>
        <v>1</v>
      </c>
    </row>
    <row r="182" spans="2:12" ht="11.1" customHeight="1">
      <c r="B182" s="36" t="s">
        <v>87</v>
      </c>
      <c r="C182" s="72" t="s">
        <v>6</v>
      </c>
      <c r="D182" s="8" t="s">
        <v>42</v>
      </c>
      <c r="F182" s="24">
        <v>8</v>
      </c>
      <c r="G182" s="17" t="str">
        <f>IF(OR(D175=0,D179="　"),"",IF(OR(1*MID(D182,1,2)=1,1*MID(D182,1,2)&gt;=5,MID(D181,1,3)&lt;&gt;"のり面"),"","管付")&amp;"支圧板")</f>
        <v>管付支圧板</v>
      </c>
      <c r="H182" s="29" t="str" cm="1">
        <f t="array" ref="H182">IF(OR(D175=0,D179="　"),"","PL"&amp;IF(OR(1*MID(D182,1,2)=1,1*MID(D182,1,2)&gt;=5,MID(D181,1,3)&lt;&gt;"のり面"),"","P")&amp;IF(MID(D179,4,1)="5","5-"&amp;_xlfn.SWITCH(1*MID(D179,6,FIND("H",D179,6)-6),1,"1",2,"2",3,"3",4,"4",5,"5",6,"6",7,"7",8,"9",9,"9",10,"10",11,"11",12,"12"),"6-"&amp;_xlfn.SWITCH(1*MID(D179,6,FIND("H",D179,6)-6),1,"1",2,"2",3,"3",4,"4",5,"6",6,"6",7,"7",8,"8",9,"9",10,"10",11,"11",12,"12",13,"14",14,"14",15,"16",16,"16",17,"17",18,"18",19,"19"))&amp;"、SS400相当")&amp;IF(OR(D175=0,D179="　"),"","、"&amp;_xlfn.IFS(MID(D177,1,3)="防食Ⅱ","HDZT77めっき",MID(D177,5,2)="塩害","ｱﾙﾐﾅｲｽﾞ処理",MID(D177,5,2)="酸性","重防食処理"))</f>
        <v>PLP5-2、SS400相当、HDZT77めっき</v>
      </c>
      <c r="I182" s="52" t="str">
        <f>IF(OR(D175=0,D179="　"),"","n=1")</f>
        <v>n=1</v>
      </c>
      <c r="J182" s="16" t="str">
        <f>IF(OR(D175=0,D179="　"),"","枚")</f>
        <v>枚</v>
      </c>
      <c r="K182" s="32">
        <f>IF(OR(D175=0,D179="　"),"",1)</f>
        <v>1</v>
      </c>
      <c r="L182" s="68">
        <f>IFERROR(D178*K182,"")</f>
        <v>1</v>
      </c>
    </row>
    <row r="183" spans="2:12" ht="11.1" customHeight="1">
      <c r="B183" s="37" t="str" cm="1">
        <f t="array" ref="B183">"頭部自由長"&amp;_xlfn.IFS(MID(D181,1,2)="なし","",MID(D181,1,3)="受圧体","(受圧体)",MID(D181,1,3)="のり面","(角度台座＋受圧体)",MID(D181,1,3)="構造物","(壁面台座)",MID(D181,1,3)="土留め","(台座+腹起し)",MID(D181,1,3)="個別台","(個別台座+腹起し)")&amp;"　Lfh"</f>
        <v>頭部自由長(角度台座＋受圧体)　Lfh</v>
      </c>
      <c r="C183" s="9" t="s">
        <v>10</v>
      </c>
      <c r="D183" s="75">
        <v>0.6</v>
      </c>
      <c r="F183" s="24">
        <v>9</v>
      </c>
      <c r="G183" s="17" t="str">
        <f>IF(OR(D175=0,D179="　",1*MID(D182,1,2)=1,1*MID(D182,1,2)&gt;=5),"","止水ゴム")</f>
        <v>止水ゴム</v>
      </c>
      <c r="H183" s="29" t="str">
        <f>IF(OR(D175=0,D179="　",1*MID(D182,1,2)=1,1*MID(D182,1,2)&gt;=5),"","G"&amp;MID(D179,4,4)&amp;"、NBR45相当")</f>
        <v>G5-2H、NBR45相当</v>
      </c>
      <c r="I183" s="52" t="str">
        <f>IF(OR(D175=0,D179="　",1*MID(D182,1,2)=1,1*MID(D182,1,2)&gt;=5),"","n=1")</f>
        <v>n=1</v>
      </c>
      <c r="J183" s="16" t="str">
        <f>IF(OR(D175=0,D179="　",1*MID(D182,1,2)=1,1*MID(D182,1,2)&gt;=5),"","個")</f>
        <v>個</v>
      </c>
      <c r="K183" s="32">
        <f>IF(OR(D175=0,D179="　",1*MID(D182,1,2)=1,1*MID(D182,1,2)&gt;=5),"",1)</f>
        <v>1</v>
      </c>
      <c r="L183" s="68">
        <f>IFERROR(D178*K183,"")</f>
        <v>1</v>
      </c>
    </row>
    <row r="184" spans="2:12" ht="11.1" customHeight="1">
      <c r="B184" s="31" t="s">
        <v>11</v>
      </c>
      <c r="C184" s="10" t="s">
        <v>10</v>
      </c>
      <c r="D184" s="75">
        <v>6.9</v>
      </c>
      <c r="F184" s="24">
        <v>10</v>
      </c>
      <c r="G184" s="17" t="str" cm="1">
        <f t="array" ref="G184">IF(OR(D175=0,D179="　",1*MID(D182,1,2)=1,1*MID(D182,1,2)&gt;=5),"",_xlfn.IFS(MID(D180,1,3)="ｱﾙﾐ","頭部防錆油",MID(D180,1,3)&lt;&gt;"ｱﾙﾐ","余長キャップ"))</f>
        <v>余長キャップ</v>
      </c>
      <c r="H184" s="29" t="str" cm="1">
        <f t="array" ref="H184">_xlfn.IFS(OR(D175=0,D179="　",1*MID(D182,1,2)=1,1*MID(D182,1,2)&gt;=5),"",MID(D180,1,3)="ｱﾙﾐ","PCコートC",MID(D180,1,3)&lt;&gt;"ｱﾙﾐ","TC"&amp;MID(D179,4,1)&amp;"、高密度ポリエチレン")</f>
        <v>TC5、高密度ポリエチレン</v>
      </c>
      <c r="I184" s="52" t="str" cm="1">
        <f t="array" ref="I184">_xlfn.IFS(OR(D175=0,D179="　",1*MID(D182,1,2)=1,1*MID(D182,1,2)&gt;=5),"",MID(D180,1,3)="ｱﾙﾐ","W="&amp;IF(MID(D179,4,1)="5",_xlfn.SWITCH(1*MID(LEFT(D179, LEN(D179)-1),6,2),1,1.9,2,1.3,3,1.3,4,1.3,5,1.6,6,1.6,7,1.6,8,3.1,9,3.1,10,3.1,11,3.1,12,3.1),"G6"&amp;_xlfn.SWITCH(1*MID(LEFT(D179, LEN(D179)-1),6,2),1,1.8,2,1.3,3,1.8,4,1.8,5,3.3,6,3.3,7,3.3,8,9.9,9,9.9,10,9.9,11,9.9,12,9.9,13,9.9,14,9.9)),MID(D180,1,3)&lt;&gt;"ｱﾙﾐ","n=1")</f>
        <v>n=1</v>
      </c>
      <c r="J184" s="16" t="str" cm="1">
        <f t="array" ref="J184">_xlfn.IFS(OR(D175=0,D179="　",1*MID(D182,1,2)=1,1*MID(D182,1,2)&gt;=5),"",MID(D180,1,3)="ｱﾙﾐ","kg",MID(D180,1,3)&lt;&gt;"ｱﾙﾐ","式")</f>
        <v>式</v>
      </c>
      <c r="K184" s="80" cm="1">
        <f t="array" ref="K184">_xlfn.IFS(OR(D175=0,D179="　",1*MID(D182,1,2)=1,1*MID(D182,1,2)&gt;=5),"",MID(D180,1,3)="ｱﾙﾐ",_xlfn.SWITCH(MID(D179,4,1),"5",_xlfn.SWITCH(1*MID(D179,6,FIND("H",D179,6)-6),1,1.9,2,1.3,3,1.3,4,1.3,5,1.6,6,1.6,7,1.6,8,3.1,9,3.1,10,3.1,11,3.1,12,3.1),"6",_xlfn.SWITCH(1*MID(D179,6,FIND("H",D179,6)-6),1,1.8,2,1.3,3,1.8,4,1.8,5,3.3,6,3.3,7,3.3,8,9.9,9,9.9,10,9.9,11,9.9,12,9.9,13,9.9,14,9.9)),MID(D180,1,3)&lt;&gt;"ｱﾙﾐ",1)</f>
        <v>1</v>
      </c>
      <c r="L184" s="68">
        <f>IFERROR(D178*K184,"")</f>
        <v>1</v>
      </c>
    </row>
    <row r="185" spans="2:12" ht="11.1" customHeight="1">
      <c r="B185" s="39" t="s">
        <v>18</v>
      </c>
      <c r="C185" s="40" t="s">
        <v>10</v>
      </c>
      <c r="D185" s="75">
        <v>3</v>
      </c>
      <c r="F185" s="24">
        <v>11</v>
      </c>
      <c r="G185" s="17" t="str">
        <f>IF(OR(D175=0,D179="　",1*MID(D182,1,2)=1,1*MID(D182,1,2)&gt;=5),"","配列スペーサ")</f>
        <v>配列スペーサ</v>
      </c>
      <c r="H185" s="29" t="str">
        <f>IF(OR(D175=0,D179="　",1*MID(D182,1,2)=1,1*MID(D182,1,2)&gt;=5),"",IF(MID(D179,4,1)="5","PS5-"&amp;_xlfn.SWITCH(1*MID(D179,6,FIND("H",D179,6)-6),1,"7",2,"2",3,"3",4,"4",5,"7",6,"7",7,"7",8,"12",9,"12",10,"12",11,"12",12,"12"),"PS6-"&amp;_xlfn.SWITCH(1*MID(D179,6,FIND("H",D179,6)-6),1,"7",2,"2",3,"3",4,"4",5,"7",6,"7",7,"7",8,"12",9,"12",10,"12",11,"12",12,"12",13,"14",14,"14",15,"19",16,"19",17,"19",18,"19",19,"19"))&amp;"、ポリエチレン")</f>
        <v>PS5-2、ポリエチレン</v>
      </c>
      <c r="I185" s="52" t="str">
        <f>IF(OR(D175=0,D179="　",1*MID(D182,1,2)=1,1*MID(D182,1,2)&gt;=5),"","n=2")</f>
        <v>n=2</v>
      </c>
      <c r="J185" s="16" t="str">
        <f>IF(OR(D175=0,D179="　",1*MID(D182,1,2)=1,1*MID(D182,1,2)&gt;=5),"","個")</f>
        <v>個</v>
      </c>
      <c r="K185" s="32">
        <f>IF(OR(D175=0,D179="　",1*MID(D182,1,2)=1,1*MID(D182,1,2)&gt;=5),"",2)</f>
        <v>2</v>
      </c>
      <c r="L185" s="68">
        <f>IFERROR(D178*K185,"")</f>
        <v>2</v>
      </c>
    </row>
    <row r="186" spans="2:12" ht="11.1" customHeight="1">
      <c r="B186" s="36" t="s">
        <v>17</v>
      </c>
      <c r="C186" s="11" t="s">
        <v>16</v>
      </c>
      <c r="D186" s="54">
        <v>90</v>
      </c>
      <c r="F186" s="24">
        <v>12</v>
      </c>
      <c r="G186" s="17" t="str">
        <f>IF(OR(D175=0,D179="　"),"","スペーサ")</f>
        <v>スペーサ</v>
      </c>
      <c r="H186" s="29" t="str" cm="1">
        <f t="array" ref="H186">IF(OR(D175=0,D179="　"),"",IF(MID(D179,4,1)="5","S5-"&amp;_xlfn.IFS(1*MID(D179,6,FIND("H",D179,6)-6)&lt;6,"5",1*MID(D179,6,FIND("H",D179,6)-6)&lt;9,"8",1*MID(D179,6,FIND("H",D179,6)-6)&gt;8,"12"),"S6-"&amp;_xlfn.IFS(1*MID(D179,6,FIND("H",D179,6)-6)&lt;4,"3",1*MID(D179,6,FIND("H",D179,6)-6)&lt;7,"6",1*MID(D179,6,FIND("H",D179,6)-6)&lt;10,"9",1*MID(D179,6,FIND("H",D179,6)-6)&lt;13,"12",1*MID(D179,6,FIND("H",D179,6)-6)&lt;15,"14",1*MID(D179,6,FIND("H",D179,6)-6)&lt;20,"19"))&amp;"、ポリプロピレン")</f>
        <v>S5-5、ポリプロピレン</v>
      </c>
      <c r="I186" s="58" t="str">
        <f>IF(OR(D175=0,D179="　"),"","n=mround(アンカー体長－0.4)÷@1.0m, 1.0)")</f>
        <v>n=mround(アンカー体長－0.4)÷@1.0m, 1.0)</v>
      </c>
      <c r="J186" s="16" t="str">
        <f>IF(OR(D175=0,D179="　"),"","個")</f>
        <v>個</v>
      </c>
      <c r="K186" s="38">
        <f>IF(OR(D175=0,D179="　"),"",MROUND((D185-0.4)/1,1))</f>
        <v>3</v>
      </c>
      <c r="L186" s="67">
        <f>IFERROR(D178*K186,"")</f>
        <v>3</v>
      </c>
    </row>
    <row r="187" spans="2:12" ht="11.1" customHeight="1">
      <c r="B187" s="41" t="s">
        <v>37</v>
      </c>
      <c r="C187" s="5" t="s">
        <v>16</v>
      </c>
      <c r="D187" s="66" cm="1">
        <f t="array" ref="D187">IF(OR(D175=0,D179="　"),"",_xlfn.SWITCH(1*MID(D182,1,2),0,_xlfn.SWITCH(1*MID(D179,4,1),5,_xlfn.SWITCH(1*MID(LEFT(D179, LEN(D179)-1),6,2),1,90,2,90,3,90,4,90,5,90,6,115,7,115,8,115,9,135,10,135,11,135,12,135),6,_xlfn.SWITCH(1*MID(LEFT(D179, LEN(D179)-1),6,2),1,90,2,90,3,90,4,115,5,115,6,115,7,135,8,135,9,135,10,146,11,146,12,146,13,165,14,165)),1,_xlfn.SWITCH(1*MID(D179,4,1),5,_xlfn.SWITCH(1*MID(LEFT(D179, LEN(D179)-1),6,2),1,90,2,90,3,90,4,90,5,115,6,115,7,135,8,135,9,135,10,135,11,165,12,165),6,_xlfn.SWITCH(1*MID(LEFT(D179, LEN(D179)-1),6,2),1,90,2,90,3,115,4,115,5,135,6,135,7,135,8,135,9,135,10,165,11,165,12,165,13,165,14,165)),2,_xlfn.SWITCH(1*MID(D179,4,1),5,_xlfn.SWITCH(1*MID(LEFT(D179, LEN(D179)-1),6,2),1,90,2,90,3,115,4,115,5,115,6,115,7,135,8,135,9,146,10,146,11,146,12,146),6,_xlfn.SWITCH(1*MID(LEFT(D179, LEN(D179)-1),6,2),1,90,2,90,3,115,4,115,5,135,6,135,7,146,8,146,9,146,10,165,11,165,12,165,13,216,14,216)),3,_xlfn.SWITCH(1*MID(D179,4,1),5,_xlfn.SWITCH(1*MID(LEFT(D179, LEN(D179)-1),6,2),1,115,2,115,3,115,4,115,5,115,6,135,7,135,8,135,9,146,10,146,11,146,12,146),6,_xlfn.SWITCH(1*MID(LEFT(D179, LEN(D179)-1),6,2),1,115,2,115,3,115,4,135,5,135,6,135,7,146,8,146,9,146,10,165,11,165,12,165,13,216,14,216)),4,_xlfn.SWITCH(1*MID(D179,4,1),5,_xlfn.SWITCH(1*MID(LEFT(D179, LEN(D179)-1),6,2),1,115,2,115,3,115,4,115,5,115,6,135,7,135,8,135,9,146,10,146,11,146,12,146),6,_xlfn.SWITCH(1*MID(LEFT(D179, LEN(D179)-1),6,2),1,115,2,115,3,115,4,135,5,135,6,135,7,146,8,146,9,146,10,165,11,165,12,165,13,216,14,216)),5,_xlfn.SWITCH(1*MID(D179,4,1),5,_xlfn.SWITCH(1*MID(LEFT(D179, LEN(D179)-1),6,2),1,90,2,90,3,115,4,115,5,115,6,115,7,135,8,135,9,165,10,165,11,165,12,165),6,_xlfn.SWITCH(1*MID(LEFT(D179, LEN(D179)-1),6,2),1,90,2,90,3,115,4,115,5,135,6,135,7,165,8,165,9,165,10,165,11,165,12,165,13,216,14,216)),6,_xlfn.SWITCH(1*MID(D179,4,1),5,_xlfn.SWITCH(1*MID(LEFT(D179, LEN(D179)-1),6,2),1,115,2,115,3,115,4,115,5,115,6,135,7,135,8,135,9,165,10,165,11,165,12,165),6,_xlfn.SWITCH(1*MID(LEFT(D179, LEN(D179)-1),6,2),1,115,2,115,3,115,4,135,5,135,6,135,7,165,8,165,9,165,10,165,11,165,12,165,13,216,14,216)),7,_xlfn.SWITCH(1*MID(D179,4,1),5,_xlfn.SWITCH(1*MID(LEFT(D179, LEN(D179)-1),6,2),1,115,2,115,3,115,4,115,5,115,6,135,7,135,8,135,9,165,10,165,11,165,12,165),6,_xlfn.SWITCH(1*MID(LEFT(D179, LEN(D179)-1),6,2),1,115,2,115,3,115,4,135,5,135,6,135,7,165,8,165,9,165,10,165,11,165,12,165,13,216,14,216))))</f>
        <v>90</v>
      </c>
      <c r="F187" s="24">
        <v>13</v>
      </c>
      <c r="G187" s="17" t="str">
        <f>IF(OR(D175=0,D179="　"),"","ﾊﾟｲﾛｯﾄｷｬｯﾌﾟ")</f>
        <v>ﾊﾟｲﾛｯﾄｷｬｯﾌﾟ</v>
      </c>
      <c r="H187" s="29" t="str" cm="1">
        <f t="array" ref="H187">IF(OR(D175=0,D179="　"),"",IF(MID(D179,4,1)="5","PC5-"&amp;_xlfn.IFS(1*MID(D179,6,FIND("H",D179,6)-6)&lt;5,"4",1*MID(D179,6,FIND("H",D179,6)-6)&lt;8,"7",1*MID(D179,6,FIND("H",D179,6)-6)&lt;10,"9",1*MID(D179,6,FIND("H",D179,6)-6)&gt;9,"12"),"PC6-"&amp;_xlfn.IFS(1*MID(D179,6,FIND("H",D179,6)-6)&lt;4,"3",1*MID(D179,6,FIND("H",D179,6)-6)&lt;8,"7",1*MID(D179,6,FIND("H",D179,6)-6)&lt;13,"12",1*MID(D179,6,FIND("H",D179,6)-6)&lt;15,"14",1*MID(D179,6,FIND("H",D179,6)-6)&lt;20,"19"))&amp;"、ポリプロピレン")</f>
        <v>PC5-4、ポリプロピレン</v>
      </c>
      <c r="I187" s="52" t="str">
        <f>IF(OR(D175=0,D179="　"),"","n=1")</f>
        <v>n=1</v>
      </c>
      <c r="J187" s="16" t="str">
        <f>IF(OR(D175=0,D179="　"),"","個")</f>
        <v>個</v>
      </c>
      <c r="K187" s="32">
        <f>IF(OR(D175=0,D179="　"),"",1)</f>
        <v>1</v>
      </c>
      <c r="L187" s="68">
        <f>IFERROR(D178*K187,"")</f>
        <v>1</v>
      </c>
    </row>
    <row r="188" spans="2:12" ht="11.1" customHeight="1">
      <c r="B188" s="43" t="s">
        <v>30</v>
      </c>
      <c r="C188" s="44" t="s">
        <v>31</v>
      </c>
      <c r="D188" s="59" t="str">
        <f>IF(OR(D175=0,D179="　"),"",IF(D186=D187,"OK","CHECK"))</f>
        <v>OK</v>
      </c>
      <c r="F188" s="24">
        <v>14</v>
      </c>
      <c r="G188" s="17" t="str">
        <f>IF(OR(D175=0,D179="　"),"","結束バンド")</f>
        <v>結束バンド</v>
      </c>
      <c r="H188" s="29" t="str">
        <f>IF(OR(D175=0,D179="　"),"","66ナイロン")</f>
        <v>66ナイロン</v>
      </c>
      <c r="I188" s="58" t="str">
        <f>IF(OR(D175=0,D179="　"),"","n=スペーサ数×2")</f>
        <v>n=スペーサ数×2</v>
      </c>
      <c r="J188" s="16" t="str">
        <f>IF(OR(D175=0,D179="　"),"","本")</f>
        <v>本</v>
      </c>
      <c r="K188" s="38">
        <f>IF(OR(D175=0,D179="　"),"",2*K186)</f>
        <v>6</v>
      </c>
      <c r="L188" s="67">
        <f>IFERROR(D178*K188,"")</f>
        <v>6</v>
      </c>
    </row>
    <row r="189" spans="2:12" ht="11.1" customHeight="1">
      <c r="B189" s="45" t="s">
        <v>12</v>
      </c>
      <c r="C189" s="9" t="s">
        <v>10</v>
      </c>
      <c r="D189" s="60">
        <f>IF(OR(D175=0,D179="　"),"──",SUM(D183:D184))</f>
        <v>7.5</v>
      </c>
      <c r="F189" s="24">
        <v>15</v>
      </c>
      <c r="G189" s="17" t="str">
        <f>IF(OR(D175=0,D179="　"),"","結束テープ")</f>
        <v>結束テープ</v>
      </c>
      <c r="H189" s="29" t="str">
        <f>IF(OR(D175=0,D179="　"),"","フィラメントテープ")</f>
        <v>フィラメントテープ</v>
      </c>
      <c r="I189" s="58" t="str">
        <f>IF(OR(D175=0,D179="　"),"","L=(自由長+緊張部長)÷@1.0m×テープ係数"&amp;IF(MID(D179,4,1)="5",_xlfn.IFS(1*MID(LEFT(D179, LEN(D179)-1),6,2)&lt;4,"0.8",1*MID(LEFT(D179, LEN(D179)-1),6,2)&lt;7,"1.0",1*MID(LEFT(D179, LEN(D179)-1),6,2)&lt;10,"1.2",1*MID(LEFT(D179, LEN(D179)-1),6,2)&lt;13,"1.4"),_xlfn.IFS(1*MID(LEFT(D179, LEN(D179)-1),6,2)&lt;4,"1.0",1*MID(LEFT(D179, LEN(D179)-1),6,2)&lt;7,"1.2",1*MID(LEFT(D179, LEN(D179)-1),6,2)&lt;10,"1.4",1*MID(LEFT(D179, LEN(D179)-1),6,2)&lt;15,"1.8")))</f>
        <v>L=(自由長+緊張部長)÷@1.0m×テープ係数0.8</v>
      </c>
      <c r="J189" s="16" t="str">
        <f>IF(OR(D175=0,D179="　"),"","m")</f>
        <v>m</v>
      </c>
      <c r="K189" s="42" cm="1">
        <f t="array" ref="K189">IF(OR(D175=0,D179="　"),"",MROUND((SUM(D189,D190))/1*IF(MID(D179,4,1)="5",_xlfn.SWITCH(1*MID(D179,6,FIND("H",D179,6)-6),1,0.8,2,0.8,3,0.8,4,1,5,1,6,1,7,1.2,8,1.2,9,1.2,10,1.4,11,1.4,12,1.4),_xlfn.SWITCH(1*MID(D179,6,FIND("H",D179,6)-6),1,1,2,1,3,1,4,1.2,5,1.2,6,1.2,7,1.4,8,1.4,9,1.4,10,1.8,11,1.8,12,1.8,13,1.8,14,1.8,15,2.5,16,2.5,17,2.5,18,2.5,19,2.5)),0.1))</f>
        <v>6.8000000000000007</v>
      </c>
      <c r="L189" s="69">
        <f>IFERROR(D178*K189,"")</f>
        <v>6.8000000000000007</v>
      </c>
    </row>
    <row r="190" spans="2:12" ht="11.1" customHeight="1">
      <c r="B190" s="47" t="s">
        <v>13</v>
      </c>
      <c r="C190" s="10" t="s">
        <v>10</v>
      </c>
      <c r="D190" s="61" cm="1">
        <f t="array" ref="D190">IF(OR(D175=0,D179="　"),"──",IF(MID(D179,4,1)="5",_xlfn.IFS(1*MID(LEFT(D179,LEN(D179)-1),6,2)&lt;8,1,1*MID(LEFT(D179,LEN(D179)-1),6,2)&lt;13,1.2),_xlfn.IFS(1*MID(LEFT(D179,LEN(D179)-1),6,2)&lt;6,1,1*MID(LEFT(D179,LEN(D179)-1),6,2)&lt;15,1.2)))</f>
        <v>1</v>
      </c>
      <c r="F190" s="24">
        <v>16</v>
      </c>
      <c r="G190" s="17" t="str">
        <f>IF(OR(D175=0,D179="　",1*MID(D182,1,2)=1,1*MID(D182,1,2)=5),"","注入ホース")</f>
        <v>注入ホース</v>
      </c>
      <c r="H190" s="29" t="str">
        <f>IF(OR(D175=0,D179="　",1*MID(D182,1,2)=1,1*MID(D182,1,2)=5),"","φ16/20、高密度ポリエチレン")</f>
        <v>φ16/20、高密度ポリエチレン</v>
      </c>
      <c r="I190" s="46" t="str">
        <f>IF(OR(D175=0,D179="　",1*MID(D182,1,2)=1,1*MID(D182,1,2)=5),"","L=テンドン長")</f>
        <v>L=テンドン長</v>
      </c>
      <c r="J190" s="16" t="str">
        <f>IF(OR(D175=0,D179="　",1*MID(D182,1,2)=1,1*MID(D182,1,2)=5),"","m")</f>
        <v>m</v>
      </c>
      <c r="K190" s="30">
        <f>IF(OR(D175=0,D179="　",1*MID(D182,1,2)=1,1*MID(D182,1,2)=5),"",MROUND(D192,0.1))</f>
        <v>11.700000000000001</v>
      </c>
      <c r="L190" s="67">
        <f>IFERROR(D178*K190,"")</f>
        <v>11.700000000000001</v>
      </c>
    </row>
    <row r="191" spans="2:12" ht="11.1" customHeight="1">
      <c r="B191" s="48" t="s">
        <v>19</v>
      </c>
      <c r="C191" s="10" t="s">
        <v>14</v>
      </c>
      <c r="D191" s="62">
        <f>IF(OR(D175=0,D179="　"),"──",0.2)</f>
        <v>0.2</v>
      </c>
      <c r="F191" s="24">
        <v>17</v>
      </c>
      <c r="G191" s="17" t="str" cm="1">
        <f t="array" ref="G191">_xlfn.IFS(OR(D175=0,D179="　",MID(D181,1,2)="なし",MID(D181,1,3)="受圧体",1*MID(D182,1,2)=1,1*MID(D182,1,2)&gt;=5),"",MID(D181,1,3)="のり面","のり面角度台座",MID(D181,1,3)="構造物","構造物壁面台座",MID(D181,1,3)="土留め","土留め台座",MID(D181,1,3)="個別台","個別台座")</f>
        <v>のり面角度台座</v>
      </c>
      <c r="H191" s="46" t="str" cm="1">
        <f t="array" ref="H191">IF(OR(D175=0,D179="　",G191=""),"",_xlfn.IFS(MID(D181,1,3)="のり面",IF(1*MID(D179,4,1)=5,_xlfn.IFS(1*MID(D179,6,FIND("H",D179,6)-6)&lt;5,"ST140",1*MID(D179,6,FIND("H",D179,6)-6)&lt;8,"ST170",1*MID(D179,6,FIND("H",D179,6)-6)&lt;13,"ST220"),_xlfn.IFS(1*MID(D179,6,FIND("H",D179,6)-6)&lt;4,"ST140",1*MID(D179,6,FIND("H",D179,6)-6)&lt;5,"ST170",1*MID(D179,6,FIND("H",D179,6)-6)&lt;8,"ST220",1*MID(D179,6,FIND("H",D179,6)-6)&lt;20,"非該当"))&amp;"、FCD450相当",OR(MID(D181,1,3)="構造物",MID(D181,1,3)="土留め",MID(D181,1,3)="個別台"),D179&amp;"用"&amp;_xlfn.IFS(MID(D181,1,3)="構造物","",MID(D181,1,3)="土留め",IF(1*MID(D179,4,1)=5,_xlfn.SWITCH(1*MID(D179,6,FIND("H",D179,6)-6),1,"DA110",2,"DA220",3,"DA330",4,"DA440",5,"DA550",6,"DA660",7,"DA770",8,"DA880",9,"DA990",10,"DA1100",11,"DA1210",12,"DA1320"),_xlfn.SWITCH(1*MID(D179,6,FIND("H",D179,6)-6),1,"DA220",2,"DA330",3,"DA550",4,"DA660",5,"DA880",6,"DA990",7,"DA1100",8,"DA1320",9,"DA1410",10,"DA1570",11,"DA1730",12,"DA1880",13,"DA2040",14,"DA2200")),MID(D181,1,3)="個別台",D194)))&amp;IF(OR(D175=0,D179="　",G191=""),"","、"&amp;_xlfn.IFS(MID(D177,1,3)="防食Ⅱ","HDZT77めっき",MID(D177,5,2)="塩害","ｱﾙﾐﾅｲｽﾞ処理",MID(D177,5,2)="酸性","重防食処理"))</f>
        <v>ST140、FCD450相当、HDZT77めっき</v>
      </c>
      <c r="I191" s="52" t="str">
        <f>IF(OR(D175=0,D179="　",G191=""),"","n=1")</f>
        <v>n=1</v>
      </c>
      <c r="J191" s="16" t="str">
        <f>IF(OR(D175=0,D179="　",G191=""),"","台")</f>
        <v>台</v>
      </c>
      <c r="K191" s="32">
        <f>IF(OR(D175=0,D179="　",G191=""),"",1)</f>
        <v>1</v>
      </c>
      <c r="L191" s="68">
        <f>IFERROR(D178*K191,"")</f>
        <v>1</v>
      </c>
    </row>
    <row r="192" spans="2:12" ht="11.1" customHeight="1">
      <c r="B192" s="50" t="s">
        <v>20</v>
      </c>
      <c r="C192" s="10" t="s">
        <v>10</v>
      </c>
      <c r="D192" s="63">
        <f>IF(OR(D175=0,D179="　"),"──",SUM(D185,D189:D191))</f>
        <v>11.7</v>
      </c>
      <c r="F192" s="24">
        <v>18</v>
      </c>
      <c r="G192" s="17" t="str">
        <f>IF(OR(D175=0,D179="　",MID(D181,1,3)&lt;&gt;"のり面",1*MID(D182,1,2)=1,1*MID(D182,1,2)&gt;=5),"","補剛板")</f>
        <v>補剛板</v>
      </c>
      <c r="H192" s="46" t="str" cm="1">
        <f t="array" ref="H192">IF(OR(D175=0,D179="　",G192=""),"",IF(MID(D179,4,1)="5","□"&amp;_xlfn.SWITCH(1*MID(D179,6,FIND("H",D179,6)-6),1,"210φ131t12",2,"210φ131t12",3,"240φ131t12",4,"270φ131t12",5,"280φ143t12",6,"310φ143t16",7,"350φ143t19",8,"350φ180t19",9,"350φ180t19",10,"350φ180t19",11,"350φ180t22",12,"350φ180t22"),"□"&amp;_xlfn.SWITCH(1*MID(D179,6,FIND("H",D179,6)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175=0,D179="　",G192=""),"","、"&amp;_xlfn.IFS(MID(D177,1,3)="防食Ⅱ","HDZT77めっき",MID(D177,5,2)="塩害","ｱﾙﾐﾅｲｽﾞ処理",MID(D177,5,2)="酸性","重防食処理"))</f>
        <v>□210φ131t12、SS400相当、HDZT77めっき</v>
      </c>
      <c r="I192" s="52" t="str">
        <f>IF(OR(D175=0,D179="　",G192=""),"","n=1")</f>
        <v>n=1</v>
      </c>
      <c r="J192" s="16" t="str">
        <f>IF(OR(D175=0,D179="　",G192=""),"","枚")</f>
        <v>枚</v>
      </c>
      <c r="K192" s="32">
        <f>IF(OR(D175=0,D179="　",G192=""),"",1)</f>
        <v>1</v>
      </c>
      <c r="L192" s="68">
        <f>IFERROR(D178*K192,"")</f>
        <v>1</v>
      </c>
    </row>
    <row r="193" spans="2:12" ht="11.1" customHeight="1">
      <c r="B193" s="51" t="s">
        <v>15</v>
      </c>
      <c r="C193" s="12" t="s">
        <v>10</v>
      </c>
      <c r="D193" s="64">
        <f>IF(OR(D175=0,D179="　"),"──",0.25)</f>
        <v>0.25</v>
      </c>
      <c r="F193" s="24">
        <v>19</v>
      </c>
      <c r="G193" s="17" t="str" cm="1">
        <f t="array" ref="G193">_xlfn.IFS(OR(D175=0,D179="　",MID(D180,1,3)="ｱﾙﾐ",1*MID(D182,1,2)=1,1*MID(D182,1,2)&gt;=5),"",MID(D180,1,3)&lt;&gt;"ｱﾙﾐ","テンドン補修用塗料")</f>
        <v>テンドン補修用塗料</v>
      </c>
      <c r="H193" s="38" t="str" cm="1">
        <f t="array" ref="H193">_xlfn.IFS(OR(D175=0,D179="　",MID(D180,1,3)="ｱﾙﾐ",1*MID(D182,1,2)=1,1*MID(D182,1,2)&gt;=5),"",MID(D180,1,3)&lt;&gt;"ｱﾙﾐ","エポキシ樹脂")</f>
        <v>エポキシ樹脂</v>
      </c>
      <c r="I193" s="52" t="str" cm="1">
        <f t="array" ref="I193">_xlfn.IFS(OR(D175=0,D179="　",MID(D180,1,3)="ｱﾙﾐ",1*MID(D182,1,2)=1,1*MID(D182,1,2)&gt;=5),"",MID(D180,1,3)&lt;&gt;"ｱﾙﾐ","W=PC鋼より線本数×"&amp;IF(MID(D179,4,1)="5","0.28","0.4"))</f>
        <v>W=PC鋼より線本数×0.28</v>
      </c>
      <c r="J193" s="16" t="str" cm="1">
        <f t="array" ref="J193">_xlfn.IFS(OR(D175=0,D179="　",MID(D180,1,3)="ｱﾙﾐ",1*MID(D182,1,2)=1,1*MID(D182,1,2)&gt;=5),"",MID(D180,1,3)&lt;&gt;"ｱﾙﾐ","g")</f>
        <v>g</v>
      </c>
      <c r="K193" s="77" cm="1">
        <f t="array" ref="K193">_xlfn.IFS(OR(D175=0,D179="　",MID(D180,1,3)="ｱﾙﾐ",1*MID(D182,1,2)=1,1*MID(D182,1,2)&gt;=5),"",MID(D180,1,3)&lt;&gt;"ｱﾙﾐ",MID(D179,6,FIND("H",D179,6)-6)*IF(MID(D179,4,1)="5",0.28,0.4))</f>
        <v>0.56000000000000005</v>
      </c>
      <c r="L193" s="78">
        <f>IFERROR(D178*K193,"")</f>
        <v>0.56000000000000005</v>
      </c>
    </row>
    <row r="194" spans="2:12" ht="11.1" customHeight="1">
      <c r="B194" s="65" t="s">
        <v>32</v>
      </c>
      <c r="C194" s="3" t="s">
        <v>33</v>
      </c>
      <c r="D194" s="76"/>
      <c r="F194" s="24">
        <v>20</v>
      </c>
      <c r="G194" s="17" t="str" cm="1">
        <f t="array" ref="G194">_xlfn.IFS(OR(D175=0,D179="　",MID(D180,1,3)="ｱﾙﾐ",1*MID(D182,1,2)=1,1*MID(D182,1,2)&gt;=5),"",MID(D180,1,3)&lt;&gt;"ｱﾙﾐ","長期防錆スプレー")</f>
        <v>長期防錆スプレー</v>
      </c>
      <c r="H194" s="38" t="str" cm="1">
        <f t="array" ref="H194">_xlfn.IFS(OR(D175=0,D179="　",MID(D180,1,3)="ｱﾙﾐ",1*MID(D182,1,2)=1,1*MID(D182,1,2)&gt;=5),"",MID(D180,1,3)&lt;&gt;"ｱﾙﾐ","防錆オイル")</f>
        <v>防錆オイル</v>
      </c>
      <c r="I194" s="52" t="str" cm="1">
        <f t="array" ref="I194">_xlfn.IFS(OR(D175=0,D179="　",MID(D180,1,3)="ｱﾙﾐ",1*MID(D182,1,2)=1,1*MID(D182,1,2)&gt;=5),"",MID(D180,1,3)&lt;&gt;"ｱﾙﾐ","n=0.01×(PC鋼より線本数+"&amp;IF(MID(D179,4,1)="5","6","12")&amp;")")</f>
        <v>n=0.01×(PC鋼より線本数+6)</v>
      </c>
      <c r="J194" s="16" t="str" cm="1">
        <f t="array" ref="J194">_xlfn.IFS(OR(D175=0,D179="　",MID(D180,1,3)="ｱﾙﾐ",1*MID(D182,1,2)=1,1*MID(D182,1,2)&gt;=5),"",MID(D180,1,3)&lt;&gt;"ｱﾙﾐ","缶")</f>
        <v>缶</v>
      </c>
      <c r="K194" s="77" cm="1">
        <f t="array" ref="K194">_xlfn.IFS(OR(D175=0,D179="　",MID(D180,1,3)="ｱﾙﾐ",1*MID(D182,1,2)=1,1*MID(D182,1,2)&gt;=5),"",MID(D180,1,3)&lt;&gt;"ｱﾙﾐ",0.01*(IF(MID(D179,4,1)="5",6,12)+MID(LEFT(D179,LEN(D179)-1),6,2)))</f>
        <v>0.08</v>
      </c>
      <c r="L194" s="78">
        <f>IFERROR(D178*K194,"")</f>
        <v>0.08</v>
      </c>
    </row>
    <row r="195" spans="2:12" ht="11.1" customHeight="1">
      <c r="F195" s="24">
        <v>21</v>
      </c>
      <c r="G195" s="17" t="str">
        <f>IF(OR(D175=0,D179="　",1*MID(D182,1,2)&lt;=1,1*MID(D182,1,2)=3,,1*MID(D182,1,2)=6),"","ﾌﾘｰﾊﾟｯｶｰ注入ﾎｰｽ")</f>
        <v/>
      </c>
      <c r="H195" s="29" t="str">
        <f>IF(OR(D175=0,D179="　",1*MID(D182,1,2)&lt;=1,1*MID(D182,1,2)=3,,1*MID(D182,1,2)=6),"","φ16/20、ポリエチレン")</f>
        <v/>
      </c>
      <c r="I195" s="29" t="str">
        <f>IF(OR(D175=0,D179="　",1*MID(D182,1,2)&lt;=1,1*MID(D182,1,2)=3,,1*MID(D182,1,2)=6),"","L=自由長+緊張部長")</f>
        <v/>
      </c>
      <c r="J195" s="16" t="str">
        <f>IF(OR(D175=0,D179="　",1*MID(D182,1,2)&lt;=1,1*MID(D182,1,2)=3,,1*MID(D182,1,2)=6),"","m")</f>
        <v/>
      </c>
      <c r="K195" s="30" t="str">
        <f>IF(OR(D175=0,D179="　",1*MID(D182,1,2)&lt;=1,1*MID(D182,1,2)=3,,1*MID(D182,1,2)=6),"",D189+D190)</f>
        <v/>
      </c>
      <c r="L195" s="67" t="str">
        <f>IFERROR(D178*K195,"")</f>
        <v/>
      </c>
    </row>
    <row r="196" spans="2:12" ht="11.1" customHeight="1">
      <c r="F196" s="24">
        <v>22</v>
      </c>
      <c r="G196" s="17" t="str">
        <f>IF(OR(D175=0,D179="　",1*MID(D182,1,2)&lt;=1,1*MID(D182,1,2)=3,,1*MID(D182,1,2)=6),"","フリーパッカー")</f>
        <v/>
      </c>
      <c r="H196" s="52" t="str" cm="1">
        <f t="array" ref="H196">IF(OR(D175=0,D179="　",1*MID(D182,1,2)&lt;=1,1*MID(D182,1,2)=3,1*MID(D182,1,2)=6),"",_xlfn.SWITCH(D186,90,"PA-170",115,"PA-200",135,"PA-240",146,"PA-290",165,"PA-350",216,"PA-420")&amp;"、織布")</f>
        <v/>
      </c>
      <c r="I196" s="52" t="str">
        <f>IF(OR(D175=0,D179="　",1*MID(D182,1,2)&lt;=1,1*MID(D182,1,2)=3,1*MID(D182,1,2)=6),"","L=自由長+0.5")</f>
        <v/>
      </c>
      <c r="J196" s="16" t="str">
        <f>IF(OR(D175=0,D179="　",1*MID(D182,1,2)&lt;=1,1*MID(D182,1,2)=3,,1*MID(D182,1,2)=6),"","m")</f>
        <v/>
      </c>
      <c r="K196" s="30" t="str">
        <f>IF(OR(D175=0,D179="　",1*MID(D182,1,2)&lt;=1,1*MID(D182,1,2)=3,,1*MID(D182,1,2)=6),"",D189+0.5)</f>
        <v/>
      </c>
      <c r="L196" s="69" t="str">
        <f>IFERROR(D178*K196,"")</f>
        <v/>
      </c>
    </row>
    <row r="197" spans="2:12" ht="11.1" customHeight="1">
      <c r="F197" s="24">
        <v>23</v>
      </c>
      <c r="G197" s="17" t="str">
        <f>IF(OR(D175=0,D179="　",1*MID(D182,1,2)&lt;=1,1*MID(D182,1,2)=3,,1*MID(D182,1,2)=6),"","ﾌﾘｰﾊﾟｯｶｰ取付加工")</f>
        <v/>
      </c>
      <c r="H197" s="29" t="str">
        <f>IF(OR(D175=0,D179="　",1*MID(D182,1,2)&lt;=1,1*MID(D182,1,2)=3,,1*MID(D182,1,2)=6),"","材工")</f>
        <v/>
      </c>
      <c r="I197" s="29" t="str">
        <f>IF(OR(D175=0,D179="　",1*MID(D182,1,2)&lt;=1,1*MID(D182,1,2)=3,,1*MID(D182,1,2)=6),"","n=1")</f>
        <v/>
      </c>
      <c r="J197" s="16" t="str">
        <f>IF(OR(D175=0,D179="　",1*MID(D182,1,2)&lt;=1,1*MID(D182,1,2)=3,,1*MID(D182,1,2)=6),"","式")</f>
        <v/>
      </c>
      <c r="K197" s="32" t="str">
        <f>IF(OR(D175=0,D179="　",1*MID(D182,1,2)&lt;=1,1*MID(D182,1,2)=3,,1*MID(D182,1,2)=6),"",1)</f>
        <v/>
      </c>
      <c r="L197" s="70" t="str">
        <f>IFERROR(D178*K197,"")</f>
        <v/>
      </c>
    </row>
    <row r="198" spans="2:12" ht="11.1" customHeight="1">
      <c r="F198" s="24">
        <v>24</v>
      </c>
      <c r="G198" s="17" t="str">
        <f>IF(OR(D175=0,D179="　",1*MID(D182,1,2)&lt;=2,1*MID(D182,1,2)=5),"","フリクションパッカー")</f>
        <v/>
      </c>
      <c r="H198" s="38" t="str" cm="1">
        <f t="array" ref="H198">IF(OR(D175=0,D179="　",1*MID(D182,1,2)&lt;=2,1*MID(D182,1,2)=5),"",_xlfn.SWITCH(D186,90,"FP125",115,"FP125",135,"FP150",146,"FP175",165,"FP200",216,"FP235")&amp;"、パイレン布")</f>
        <v/>
      </c>
      <c r="I198" s="38" t="str">
        <f>IF(OR(D175=0,D179="　",1*MID(D182,1,2)&lt;=2,1*MID(D182,1,2)=5),"","L=アンカー体長+0.5")</f>
        <v/>
      </c>
      <c r="J198" s="16" t="str">
        <f>IF(OR(D175=0,D179="　",1*MID(D182,1,2)&lt;=2,1*MID(D182,1,2)=5),"","m")</f>
        <v/>
      </c>
      <c r="K198" s="30" t="str">
        <f>IF(OR(D175=0,D179="　",1*MID(D182,1,2)&lt;=2,1*MID(D182,1,2)=5),"",D185+0.5)</f>
        <v/>
      </c>
      <c r="L198" s="68" t="str">
        <f>IFERROR(D178*K198,"")</f>
        <v/>
      </c>
    </row>
    <row r="199" spans="2:12" ht="11.1" customHeight="1">
      <c r="F199" s="24">
        <v>25</v>
      </c>
      <c r="G199" s="17" t="str">
        <f>IF(OR(D175=0,D179="　",1*MID(D182,1,2)&lt;=2,1*MID(D182,1,2)=5),"","ﾌﾘｸｼｮﾝﾊﾟｯｶｰ取付加工")</f>
        <v/>
      </c>
      <c r="H199" s="29" t="str">
        <f>IF(OR(D175=0,D179="　",1*MID(D182,1,2)&lt;=2,1*MID(D182,1,2)=5),"","材工")</f>
        <v/>
      </c>
      <c r="I199" s="29" t="str">
        <f>IF(OR(D175=0,D179="　",1*MID(D182,1,2)&lt;=2,1*MID(D182,1,2)=5),"","n=1")</f>
        <v/>
      </c>
      <c r="J199" s="16" t="str">
        <f>IF(OR(D175=0,D179="　",1*MID(D182,1,2)&lt;=2,1*MID(D182,1,2)=5),"","式")</f>
        <v/>
      </c>
      <c r="K199" s="32" t="str">
        <f>IF(OR(D175=0,D179="　",1*MID(D182,1,2)&lt;=2,1*MID(D182,1,2)=5),"",1)</f>
        <v/>
      </c>
      <c r="L199" s="70" t="str">
        <f>IFERROR(D178*K199,"")</f>
        <v/>
      </c>
    </row>
    <row r="200" spans="2:12" ht="11.1" customHeight="1">
      <c r="F200" s="24">
        <v>26</v>
      </c>
      <c r="G200" s="17" t="str">
        <f>IF(OR(D175=0,D179="　",1*MID(D182,1,2)=0,1*MID(D182,1,2)=2,1*MID(D182,1,2)=3,1*MID(D182,1,2)=4),"","試験ﾊﾟｯｶｰ水注入ﾎｰｽ")</f>
        <v/>
      </c>
      <c r="H200" s="38" t="str">
        <f>IF(OR(D175=0,D179="　",1*MID(D182,1,2)=0,1*MID(D182,1,2)=2,1*MID(D182,1,2)=3,1*MID(D182,1,2)=4),"","φ4/6、ナイロン")</f>
        <v/>
      </c>
      <c r="I200" s="38" t="str">
        <f>IF(OR(D175=0,D179="　",1*MID(D182,1,2)=0,1*MID(D182,1,2)=2,1*MID(D182,1,2)=3,1*MID(D182,1,2)=4),"","L=自由長+緊張部長")</f>
        <v/>
      </c>
      <c r="J200" s="79" t="str">
        <f>IF(OR(D175=0,D179="　",1*MID(D182,1,2)=0,1*MID(D182,1,2)=2,1*MID(D182,1,2)=3,1*MID(D182,1,2)=4),"","m")</f>
        <v/>
      </c>
      <c r="K200" s="80" t="str">
        <f>IF(OR(D175=0,D179="　",1*MID(D182,1,2)=0,1*MID(D182,1,2)=2,1*MID(D182,1,2)=3,1*MID(D182,1,2)=4),"",D189+D190)</f>
        <v/>
      </c>
      <c r="L200" s="81" t="str">
        <f>IFERROR(D178*K200,"")</f>
        <v/>
      </c>
    </row>
    <row r="201" spans="2:12" ht="11.1" customHeight="1">
      <c r="F201" s="24">
        <v>27</v>
      </c>
      <c r="G201" s="17" t="str">
        <f>IF(OR(D175=0,D179="　",1*MID(D182,1,2)=0,1*MID(D182,1,2)=2,1*MID(D182,1,2)=3,1*MID(D182,1,2)=4),"","引抜試験パッカー")</f>
        <v/>
      </c>
      <c r="H201" s="38" t="str" cm="1">
        <f t="array" ref="H201">IF(OR(D175=0,D179="　",1*MID(D182,1,2)=0,1*MID(D182,1,2)=2,1*MID(D182,1,2)=3,1*MID(D182,1,2)=4),"",_xlfn.SWITCH(D186,90,"PU90",115,"PU115",135,"PU135",146,"PU146",165,"PU165")&amp;"、3層構造(鋼管･ゴム･布)")</f>
        <v/>
      </c>
      <c r="I201" s="38" t="str">
        <f>IF(OR(D175=0,D179="　",1*MID(D182,1,2)=0,1*MID(D182,1,2)=2,1*MID(D182,1,2)=3,1*MID(D182,1,2)=4),"","n=1")</f>
        <v/>
      </c>
      <c r="J201" s="79" t="str">
        <f>IF(OR(D175=0,D179="　",1*MID(D182,1,2)=0,1*MID(D182,1,2)=2,1*MID(D182,1,2)=3,1*MID(D182,1,2)=4),"","式")</f>
        <v/>
      </c>
      <c r="K201" s="32" t="str" cm="1">
        <f t="array" ref="K201">IF(OR(D175=0,D179="　",1*MID(D182,1,2)=0,1*MID(D182,1,2)=2,1*MID(D182,1,2)=3,1*MID(D182,1,2)=4),"",_xlfn.IFS(OR(1*MID(D182,1,2)=1,1*MID(D182,1,2)&gt;=5),1))</f>
        <v/>
      </c>
      <c r="L201" s="68" t="str">
        <f>IFERROR(D178*K201,"")</f>
        <v/>
      </c>
    </row>
    <row r="202" spans="2:12" ht="11.1" customHeight="1">
      <c r="F202" s="24">
        <v>28</v>
      </c>
      <c r="G202" s="17" t="str">
        <f>IF(OR(D175=0,D179="　",1*MID(D182,1,2)=0,1*MID(D182,1,2)=2,1*MID(D182,1,2)=3,1*MID(D182,1,2)=4),"","引抜試験パッカー取付加工")</f>
        <v/>
      </c>
      <c r="H202" s="38" t="str">
        <f>IF(OR(D175=0,D179="　",1*MID(D182,1,2)=0,1*MID(D182,1,2)=2,1*MID(D182,1,2)=3,1*MID(D182,1,2)=4),"","材工")</f>
        <v/>
      </c>
      <c r="I202" s="38" t="str">
        <f>IF(OR(D175=0,D179="　",1*MID(D182,1,2)=0,1*MID(D182,1,2)=2,1*MID(D182,1,2)=3,1*MID(D182,1,2)=4),"","n=1")</f>
        <v/>
      </c>
      <c r="J202" s="79" t="str" cm="1">
        <f t="array" ref="J202">IF(OR(D175=0,D179="　",1*MID(D182,1,2)=0,1*MID(D182,1,2)=2,1*MID(D182,1,2)=3,1*MID(D182,1,2)=4),"",_xlfn.IFS(OR(1*MID(D182,1,2)=1,1*MID(D182,1,2)&gt;=5),"式"))</f>
        <v/>
      </c>
      <c r="K202" s="32" t="str" cm="1">
        <f t="array" ref="K202">IF(OR(D175=0,D179="　",1*MID(D182,1,2)=0,1*MID(D182,1,2)=2,1*MID(D182,1,2)=3,1*MID(D182,1,2)=4),"",_xlfn.IFS(OR(1*MID(D182,1,2)=1,1*MID(D182,1,2)&gt;=5),1))</f>
        <v/>
      </c>
      <c r="L202" s="68" t="str">
        <f>IFERROR(D178*K202,"")</f>
        <v/>
      </c>
    </row>
    <row r="203" spans="2:12" ht="11.1" customHeight="1">
      <c r="F203" s="24">
        <v>29</v>
      </c>
      <c r="G203" s="17" t="str">
        <f>IF(OR(D175=0,D179="　",1*MID(D182,1,2)=0,1*MID(D182,1,2)=2,1*MID(D182,1,2)=3,1*MID(D182,1,2)=4),"","自由長洗浄ﾎｰｽ")</f>
        <v/>
      </c>
      <c r="H203" s="38" t="str">
        <f>IF(OR(D175=0,D179="　",1*MID(D182,1,2)=0,1*MID(D182,1,2)=2,1*MID(D182,1,2)=3,1*MID(D182,1,2)=4),"","φ16/20、ポリエチレン")</f>
        <v/>
      </c>
      <c r="I203" s="38" t="str">
        <f>IF(OR(D175=0,D179="　",1*MID(D182,1,2)=0,1*MID(D182,1,2)=2,1*MID(D182,1,2)=3,1*MID(D182,1,2)=4),"","L=自由長+0.5")</f>
        <v/>
      </c>
      <c r="J203" s="79" t="str">
        <f>IF(OR(D175=0,D179="　",1*MID(D182,1,2)=0,1*MID(D182,1,2)=2,1*MID(D182,1,2)=3,1*MID(D182,1,2)=4),"","m")</f>
        <v/>
      </c>
      <c r="K203" s="32" t="str">
        <f>IF(OR(D175=0,D179="　",1*MID(D182,1,2)=0,1*MID(D182,1,2)=2,1*MID(D182,1,2)=3,1*MID(D182,1,2)=4),"",D189+0.5)</f>
        <v/>
      </c>
      <c r="L203" s="81" t="str">
        <f>IFERROR(D178*K203,"")</f>
        <v/>
      </c>
    </row>
    <row r="204" spans="2:12" ht="11.1" customHeight="1">
      <c r="D204" s="1" t="s">
        <v>9</v>
      </c>
      <c r="F204" s="56">
        <v>30</v>
      </c>
      <c r="G204" s="82" t="str">
        <f>IF(OR(D175=0,D179="　",1*MID(D182,1,2)&lt;=2,1*MID(D182,1,2)=5,MID(D204,6,2)&lt;&gt;"あり"),"","確認ホース")</f>
        <v/>
      </c>
      <c r="H204" s="83" t="str">
        <f>IF(OR(D175=0,D179="　",1*MID(D182,1,2)&lt;=2,1*MID(D182,1,2)=5,MID(D204,6,2)&lt;&gt;"あり"),"","φ17、ポリエチレン")</f>
        <v/>
      </c>
      <c r="I204" s="83"/>
      <c r="J204" s="84" t="str">
        <f>IF(OR(D175=0,D179="　",1*MID(D182,1,2)&lt;=2,1*MID(D182,1,2)=5,MID(D204,6,2)&lt;&gt;"あり"),"","m")</f>
        <v/>
      </c>
      <c r="K204" s="85" t="str">
        <f>IF(OR(D174=0,D179="　",1*MID(D182,1,2)&lt;=2,1*MID(D182,1,2)=5,MID(D204,6,2)&lt;&gt;"あり"),"",0.5+MROUND(D189+D191,0.1))</f>
        <v/>
      </c>
      <c r="L204" s="86" t="str">
        <f>IFERROR(D178*K204,"")</f>
        <v/>
      </c>
    </row>
    <row r="206" spans="2:12" ht="11.1" customHeight="1">
      <c r="B206" s="19" t="s">
        <v>1</v>
      </c>
      <c r="D206" s="4"/>
      <c r="G206" s="73" t="s">
        <v>39</v>
      </c>
    </row>
    <row r="207" spans="2:12" ht="11.1" customHeight="1">
      <c r="G207" s="99">
        <f>D208</f>
        <v>7</v>
      </c>
      <c r="H207" s="55" t="str">
        <f>IF(D209=0,"",D210&amp;" "&amp;D213&amp; "："&amp;TEXT(D226,"L=##0.00")&amp;"m"&amp;TEXT(D224,",L1=##0.00")&amp;"m"&amp;TEXT(D223,",Lf=##0.00")&amp;"m"&amp;TEXT(D219,",LA=##0.00")&amp;"m"&amp;TEXT(D225,",L2=##0.00")&amp;"m")</f>
        <v>(7)2列目：3段/4段 EHD5-2H：L=8.70m,L1=1.00m,Lf=4.50m,LA=3.00m,L2=0.20m</v>
      </c>
      <c r="I207" s="55"/>
      <c r="J207" s="18"/>
    </row>
    <row r="208" spans="2:12" ht="11.1" customHeight="1">
      <c r="B208" s="13" t="s">
        <v>2</v>
      </c>
      <c r="C208" s="3" t="s">
        <v>3</v>
      </c>
      <c r="D208" s="98">
        <f>1+(ROW()-ROW($D$4))/34</f>
        <v>7</v>
      </c>
      <c r="F208" s="20"/>
      <c r="G208" s="21" t="s">
        <v>21</v>
      </c>
      <c r="H208" s="22" t="s">
        <v>22</v>
      </c>
      <c r="I208" s="22" t="s">
        <v>38</v>
      </c>
      <c r="J208" s="23" t="s">
        <v>23</v>
      </c>
      <c r="K208" s="22" t="s">
        <v>24</v>
      </c>
      <c r="L208" s="3" t="s">
        <v>4</v>
      </c>
    </row>
    <row r="209" spans="2:12" ht="11.1" customHeight="1">
      <c r="B209" s="28" t="s">
        <v>25</v>
      </c>
      <c r="C209" s="5" t="s">
        <v>26</v>
      </c>
      <c r="D209" s="6">
        <v>1</v>
      </c>
      <c r="F209" s="24">
        <v>1</v>
      </c>
      <c r="G209" s="25" t="str">
        <f>IF(OR(D209=0,D213="　"),"","硅砂付着ECFﾃﾝﾄﾞﾝ")</f>
        <v>硅砂付着ECFﾃﾝﾄﾞﾝ</v>
      </c>
      <c r="H209" s="26" t="str">
        <f>IF(OR(D209=0,D213="　"),"",D213&amp;" ("&amp;MID(D213,6,FIND("H",D213,6)-6)&amp;IF(MID(D213,4,1)="5","φ12.7","φ15.2")&amp;")")</f>
        <v>EHD5-2H (2φ12.7)</v>
      </c>
      <c r="I209" s="57" t="str">
        <f>IF(OR(D209=0,D213="　"),"","W=テンドン長×PC鋼より線本数×"&amp;IF(MID(D213,4,1)="5","0.774","1.101")&amp;"kg/m")</f>
        <v>W=テンドン長×PC鋼より線本数×0.774kg/m</v>
      </c>
      <c r="J209" s="14" t="str">
        <f>IF(OR(D209=0,D213="　"),"","kg")</f>
        <v>kg</v>
      </c>
      <c r="K209" s="27">
        <f>IF(OR(D209=0,D213="　"),"",MROUND(D226*MID(D213,6,FIND("H",D213,6)-6)*IF(MID(D213,4,1)="5","0.774","1.101"),0.01))</f>
        <v>13.47</v>
      </c>
      <c r="L209" s="15">
        <f>IFERROR(D212*K209,"")</f>
        <v>13.47</v>
      </c>
    </row>
    <row r="210" spans="2:12" ht="11.1" customHeight="1">
      <c r="B210" s="31" t="s">
        <v>45</v>
      </c>
      <c r="C210" s="71" t="s">
        <v>6</v>
      </c>
      <c r="D210" s="74" t="s">
        <v>113</v>
      </c>
      <c r="F210" s="24">
        <v>2</v>
      </c>
      <c r="G210" s="17" t="str">
        <f>IF(OR(D209=0,D213="　"),"","アンカー工場加工")</f>
        <v>アンカー工場加工</v>
      </c>
      <c r="H210" s="29"/>
      <c r="I210" s="46" t="str">
        <f>IF(OR(D209=0,D213="　"),"","L=テンドン長")</f>
        <v>L=テンドン長</v>
      </c>
      <c r="J210" s="16" t="str">
        <f>IF(OR(D209=0,D213="　"),"","m")</f>
        <v>m</v>
      </c>
      <c r="K210" s="30">
        <f>IF(OR(D209=0,D213="　"),"",MROUND(D226,0.1))</f>
        <v>8.7000000000000011</v>
      </c>
      <c r="L210" s="67">
        <f>IFERROR(D212*K210,"")</f>
        <v>8.7000000000000011</v>
      </c>
    </row>
    <row r="211" spans="2:12" ht="11.1" customHeight="1">
      <c r="B211" s="34" t="s">
        <v>7</v>
      </c>
      <c r="C211" s="49" t="s">
        <v>6</v>
      </c>
      <c r="D211" s="2" t="s">
        <v>34</v>
      </c>
      <c r="F211" s="24">
        <v>3</v>
      </c>
      <c r="G211" s="17" t="str">
        <f>IF(OR(D209=0,D213="　",1*MID(D216,1,2)=1,1*MID(D216,1,2)&gt;=5),"","頭部キャップ")</f>
        <v>頭部キャップ</v>
      </c>
      <c r="H211" s="29" t="str" cm="1">
        <f t="array" ref="H211">IF(OR(D209=0,D213="　",1*MID(D216,1,2)=1,1*MID(D216,1,2)&gt;=5),"",IF(MID(D213,4,1)="5",_xlfn.SWITCH(1*MID(D213,6,FIND("H",D213,6)-6),1,"S",2,"S",3,"S",4,"S",5,"M",6,"M",7,"M",8,"L",9,"L",10,"L",11,"L",12,"L"),_xlfn.SWITCH(1*MID(D213,6,FIND("H",D213,6)-6),1,"S",2,"S",3,"M",4,"M",5,"L",6,"L",7,"L",8,"LL",9,"LL",10,"LL",11,"LL",12,"LL",13,"LL",14,"LL",15,"3L",16,"3L",17,"3L",18,"3L",19,"3L"))&amp;"型"&amp;MID(D214,IF(MID(D214,1,1)="G",4,1),10)&amp;IF(OR(MID(D214,1,2)="透明",MID(D214,1,2)="5窓"),"、PC樹脂","")&amp;IF(MID(D214,4,2)="鋼製","、SS400相当、HDZT77めっき","、ｱﾙﾐAC4C相当"))&amp;_xlfn.IFS(OR(D209=0,D213="　",MID(D211,1,3)="防食Ⅱ"),"",MID(D211,5,2)="塩害","、ﾀｹｺｰﾄ処理",MID(D211,5,2)="酸性","、重防食処理")</f>
        <v>S型透明ｷｬｯﾌﾟ、PC樹脂、ｱﾙﾐAC4C相当</v>
      </c>
      <c r="I211" s="52" t="str">
        <f>IF(OR(D209=0,D213="　",1*MID(D216,1,2)=1,1*MID(D216,1,2)&gt;=5),"","n=1")</f>
        <v>n=1</v>
      </c>
      <c r="J211" s="16" t="str">
        <f>IF(OR(D209=0,D213="　",1*MID(D216,1,2)=1,1*MID(D216,1,2)&gt;=5),"","個")</f>
        <v>個</v>
      </c>
      <c r="K211" s="32">
        <f>IF(OR(D209=0,D213="　",1*MID(D216,1,2)=1,1*MID(D216,1,2)&gt;=5),"",1)</f>
        <v>1</v>
      </c>
      <c r="L211" s="68">
        <f>IFERROR(D212*K211,"")</f>
        <v>1</v>
      </c>
    </row>
    <row r="212" spans="2:12" ht="11.1" customHeight="1">
      <c r="B212" s="31" t="s">
        <v>27</v>
      </c>
      <c r="C212" s="10" t="s">
        <v>5</v>
      </c>
      <c r="D212" s="75">
        <v>1</v>
      </c>
      <c r="F212" s="24">
        <v>4</v>
      </c>
      <c r="G212" s="17" t="str">
        <f>IF(OR(D209=0,D213="　",1*MID(D216,1,2)=1,1*MID(D216,1,2)&gt;=5),"","アンカーヘッド")</f>
        <v>アンカーヘッド</v>
      </c>
      <c r="H212" s="29" t="str" cm="1">
        <f t="array" ref="H212">IF(OR(D209=0,D213="　",1*MID(D216,1,2)=1,1*MID(D216,1,2)&gt;=5),"",IF(MID(D213,4,1)="5","G5"&amp;_xlfn.SWITCH(1*MID(D213,6,FIND("H",D213,6)-6),1,"01",2,"02",3,"03",4,"04",5,"07",6,"07",7,"07",8,"09",9,"09",10,"12",11,"12",12,"12"),"G6"&amp;_xlfn.SWITCH(1*MID(D213,6,FIND("H",D213,6)-6),1,"01",2,"02",3,"03",4,"04",5,"07",6,"07",7,"07",8,"09",9,"09",10,"12",11,"12",12,"12",13,"14",14,"14",15,"19",16,"19",17,"19",18,"19",19,"19"))&amp;"、S45C相当")&amp;IF(OR(D209=0,D213="　",MID(D214,1,3)="ｱﾙﾐ",1*MID(D216,1,2)=1,1*MID(D216,1,2)&gt;=5),"","、無電解Niめっき")</f>
        <v>G502、S45C相当、無電解Niめっき</v>
      </c>
      <c r="I212" s="52" t="str">
        <f>IF(OR(D209=0,D213="　",1*MID(D216,1,2)=1,1*MID(D216,1,2)&gt;=5),"","n=1")</f>
        <v>n=1</v>
      </c>
      <c r="J212" s="16" t="str">
        <f>IF(OR(D209=0,D213="　",1*MID(D216,1,2)=1,1*MID(D216,1,2)&gt;=5),"","個")</f>
        <v>個</v>
      </c>
      <c r="K212" s="32">
        <f>IF(OR(D209=0,D213="　",1*MID(D216,1,2)=1,1*MID(D216,1,2)&gt;=5),"",1)</f>
        <v>1</v>
      </c>
      <c r="L212" s="68">
        <f>IFERROR(D212*K212,"")</f>
        <v>1</v>
      </c>
    </row>
    <row r="213" spans="2:12" ht="11.1" customHeight="1">
      <c r="B213" s="33" t="s">
        <v>28</v>
      </c>
      <c r="C213" s="71" t="s">
        <v>6</v>
      </c>
      <c r="D213" s="7" t="s">
        <v>115</v>
      </c>
      <c r="F213" s="24">
        <v>5</v>
      </c>
      <c r="G213" s="17" t="str">
        <f>IF(OR(D209=0,D213="　",1*MID(D216,1,2)=1,1*MID(D216,1,2)&gt;=5),"","ナット")</f>
        <v>ナット</v>
      </c>
      <c r="H213" s="29" t="str" cm="1">
        <f t="array" ref="H213">IF(OR(D209=0,D213="　",1*MID(D216,1,2)=1,1*MID(D216,1,2)&gt;=5),"",IF(MID(D213,4,1)="5","G5"&amp;_xlfn.SWITCH(1*MID(D213,6,FIND("H",D213,6)-6),1,"01",2,"02",3,"03",4,"04",5,"07",6,"07",7,"07",8,"09",9,"09",10,"12",11,"12",12,"12"),"G6"&amp;_xlfn.SWITCH(1*MID(D213,6,FIND("H",D213,6)-6),1,"01",2,"02",3,"03",4,"04",5,"07",6,"07",7,"07",8,"09",9,"09",10,"12",11,"12",12,"12",13,"14",14,"14",15,"19",16,"19",17,"19",18,"19",19,"19"))&amp;"、S45C相当")&amp;IF(OR(D209=0,D213="　",MID(D214,1,3)="ｱﾙﾐ",1*MID(D216,1,2)=1,1*MID(D216,1,2)&gt;=5),"","、無電解Niめっき")</f>
        <v>G502、S45C相当、無電解Niめっき</v>
      </c>
      <c r="I213" s="52" t="str">
        <f>IF(OR(D209=0,D213="　",1*MID(D216,1,2)=1,1*MID(D216,1,2)&gt;=5),"","n=1")</f>
        <v>n=1</v>
      </c>
      <c r="J213" s="16" t="str">
        <f>IF(OR(D209=0,D213="　",1*MID(D216,1,2)=1,1*MID(D216,1,2)&gt;=5),"","個")</f>
        <v>個</v>
      </c>
      <c r="K213" s="32">
        <f>IF(OR(D209=0,D213="　",1*MID(D216,1,2)=1,1*MID(D216,1,2)&gt;=5),"",1)</f>
        <v>1</v>
      </c>
      <c r="L213" s="68">
        <f>IFERROR(D212*K213,"")</f>
        <v>1</v>
      </c>
    </row>
    <row r="214" spans="2:12" ht="11.1" customHeight="1">
      <c r="B214" s="35" t="s">
        <v>29</v>
      </c>
      <c r="C214" s="49" t="s">
        <v>6</v>
      </c>
      <c r="D214" s="2" t="s">
        <v>35</v>
      </c>
      <c r="F214" s="24">
        <v>6</v>
      </c>
      <c r="G214" s="17" t="str">
        <f>IF(OR(D209=0,D213="　",1*MID(D216,1,2)=1,1*MID(D216,1,2)&gt;=5),"","くさび")</f>
        <v>くさび</v>
      </c>
      <c r="H214" s="29" t="str">
        <f>IF(OR(D209=0,D213="　",1*MID(D216,1,2)=1,1*MID(D216,1,2)&gt;=5),"",IF(1*MID(D213,4,1)=5,"ECF12.7","ECF15.2")&amp;"、SCM415相当")&amp;IF(OR(D209=0,D213="　",MID(D214,1,3)="ｱﾙﾐ",1*MID(D216,1,2)=1,1*MID(D216,1,2)&gt;=5),"","、無電解Niめっき")</f>
        <v>ECF12.7、SCM415相当、無電解Niめっき</v>
      </c>
      <c r="I214" s="52" t="str">
        <f>IF(OR(D209=0,D213="　",1*MID(D216,1,2)=1,1*MID(D216,1,2)&gt;=5),"","n=1")</f>
        <v>n=1</v>
      </c>
      <c r="J214" s="16" t="str">
        <f>IF(OR(D209=0,D213="　",1*MID(D216,1,2)=1,1*MID(D216,1,2)&gt;=5),"","式")</f>
        <v>式</v>
      </c>
      <c r="K214" s="32">
        <f>IF(OR(D209=0,D213="　",1*MID(D216,1,2)=1,1*MID(D216,1,2)&gt;=5),"",1)</f>
        <v>1</v>
      </c>
      <c r="L214" s="68">
        <f>IFERROR(D212*K214,"")</f>
        <v>1</v>
      </c>
    </row>
    <row r="215" spans="2:12" ht="11.1" customHeight="1">
      <c r="B215" s="35" t="s">
        <v>8</v>
      </c>
      <c r="C215" s="49" t="s">
        <v>6</v>
      </c>
      <c r="D215" s="2" t="s">
        <v>36</v>
      </c>
      <c r="F215" s="24">
        <v>7</v>
      </c>
      <c r="G215" s="17" t="str">
        <f>IF(OR(D209=0,D213="　",1*MID(D216,1,2)=1,1*MID(D216,1,2)&gt;=5),"","押え板")</f>
        <v>押え板</v>
      </c>
      <c r="H215" s="29" t="str" cm="1">
        <f t="array" ref="H215">IF(OR(D209=0,D213="　",1*MID(D216,1,2)=1,1*MID(D216,1,2)&gt;=5),"",IF(MID(D213,4,1)="5","G5"&amp;_xlfn.SWITCH(1*MID(D213,6,FIND("H",D213,6)-6),1,"01",2,"04",3,"03",4,"04",5,"07",6,"07",7,"07",8,"12",9,"12",10,"12",11,"12",12,"12"),"G6"&amp;_xlfn.SWITCH(1*MID(D213,6,FIND("H",D213,6)-6),1,"01",2,"02",3,"03",4,"04",5,"07",6,"07",7,"07",8,"12",9,"12",10,"12",11,"12",12,"12",13,"14",14,"14",15,"19",16,"19",17,"19",18,"19",19,"19"))&amp;"、SS400相当")&amp;IF(OR(D209=0,D213="　",1*MID(D216,1,2)=1,1*MID(D216,1,2)&gt;=5),"","、"&amp;_xlfn.IFS(MID(D211,1,3)="防食Ⅱ","HDZT77めっき",MID(D211,5,2)="塩害","ｱﾙﾐﾅｲｽﾞ処理",MID(D211,5,2)="酸性","重防食処理"))</f>
        <v>G504、SS400相当、HDZT77めっき</v>
      </c>
      <c r="I215" s="52" t="str">
        <f>IF(OR(D209=0,D213="　",1*MID(D216,1,2)=1,1*MID(D216,1,2)&gt;=5),"","n=1")</f>
        <v>n=1</v>
      </c>
      <c r="J215" s="16" t="str">
        <f>IF(OR(D209=0,D213="　",1*MID(D216,1,2)=1,1*MID(D216,1,2)&gt;=5),"","枚")</f>
        <v>枚</v>
      </c>
      <c r="K215" s="32">
        <f>IF(OR(D209=0,D213="　",1*MID(D216,1,2)=1,1*MID(D216,1,2)&gt;=5),"",1)</f>
        <v>1</v>
      </c>
      <c r="L215" s="68">
        <f>IFERROR(D212*K215,"")</f>
        <v>1</v>
      </c>
    </row>
    <row r="216" spans="2:12" ht="11.1" customHeight="1">
      <c r="B216" s="36" t="s">
        <v>87</v>
      </c>
      <c r="C216" s="72" t="s">
        <v>6</v>
      </c>
      <c r="D216" s="8" t="s">
        <v>42</v>
      </c>
      <c r="F216" s="24">
        <v>8</v>
      </c>
      <c r="G216" s="17" t="str">
        <f>IF(OR(D209=0,D213="　"),"",IF(OR(1*MID(D216,1,2)=1,1*MID(D216,1,2)&gt;=5,MID(D215,1,3)&lt;&gt;"のり面"),"","管付")&amp;"支圧板")</f>
        <v>管付支圧板</v>
      </c>
      <c r="H216" s="29" t="str" cm="1">
        <f t="array" ref="H216">IF(OR(D209=0,D213="　"),"","PL"&amp;IF(OR(1*MID(D216,1,2)=1,1*MID(D216,1,2)&gt;=5,MID(D215,1,3)&lt;&gt;"のり面"),"","P")&amp;IF(MID(D213,4,1)="5","5-"&amp;_xlfn.SWITCH(1*MID(D213,6,FIND("H",D213,6)-6),1,"1",2,"2",3,"3",4,"4",5,"5",6,"6",7,"7",8,"9",9,"9",10,"10",11,"11",12,"12"),"6-"&amp;_xlfn.SWITCH(1*MID(D213,6,FIND("H",D213,6)-6),1,"1",2,"2",3,"3",4,"4",5,"6",6,"6",7,"7",8,"8",9,"9",10,"10",11,"11",12,"12",13,"14",14,"14",15,"16",16,"16",17,"17",18,"18",19,"19"))&amp;"、SS400相当")&amp;IF(OR(D209=0,D213="　"),"","、"&amp;_xlfn.IFS(MID(D211,1,3)="防食Ⅱ","HDZT77めっき",MID(D211,5,2)="塩害","ｱﾙﾐﾅｲｽﾞ処理",MID(D211,5,2)="酸性","重防食処理"))</f>
        <v>PLP5-2、SS400相当、HDZT77めっき</v>
      </c>
      <c r="I216" s="52" t="str">
        <f>IF(OR(D209=0,D213="　"),"","n=1")</f>
        <v>n=1</v>
      </c>
      <c r="J216" s="16" t="str">
        <f>IF(OR(D209=0,D213="　"),"","枚")</f>
        <v>枚</v>
      </c>
      <c r="K216" s="32">
        <f>IF(OR(D209=0,D213="　"),"",1)</f>
        <v>1</v>
      </c>
      <c r="L216" s="68">
        <f>IFERROR(D212*K216,"")</f>
        <v>1</v>
      </c>
    </row>
    <row r="217" spans="2:12" ht="11.1" customHeight="1">
      <c r="B217" s="37" t="str" cm="1">
        <f t="array" ref="B217">"頭部自由長"&amp;_xlfn.IFS(MID(D215,1,2)="なし","",MID(D215,1,3)="受圧体","(受圧体)",MID(D215,1,3)="のり面","(角度台座＋受圧体)",MID(D215,1,3)="構造物","(壁面台座)",MID(D215,1,3)="土留め","(台座+腹起し)",MID(D215,1,3)="個別台","(個別台座+腹起し)")&amp;"　Lfh"</f>
        <v>頭部自由長(角度台座＋受圧体)　Lfh</v>
      </c>
      <c r="C217" s="9" t="s">
        <v>10</v>
      </c>
      <c r="D217" s="75">
        <v>0.6</v>
      </c>
      <c r="F217" s="24">
        <v>9</v>
      </c>
      <c r="G217" s="17" t="str">
        <f>IF(OR(D209=0,D213="　",1*MID(D216,1,2)=1,1*MID(D216,1,2)&gt;=5),"","止水ゴム")</f>
        <v>止水ゴム</v>
      </c>
      <c r="H217" s="29" t="str">
        <f>IF(OR(D209=0,D213="　",1*MID(D216,1,2)=1,1*MID(D216,1,2)&gt;=5),"","G"&amp;MID(D213,4,4)&amp;"、NBR45相当")</f>
        <v>G5-2H、NBR45相当</v>
      </c>
      <c r="I217" s="52" t="str">
        <f>IF(OR(D209=0,D213="　",1*MID(D216,1,2)=1,1*MID(D216,1,2)&gt;=5),"","n=1")</f>
        <v>n=1</v>
      </c>
      <c r="J217" s="16" t="str">
        <f>IF(OR(D209=0,D213="　",1*MID(D216,1,2)=1,1*MID(D216,1,2)&gt;=5),"","個")</f>
        <v>個</v>
      </c>
      <c r="K217" s="32">
        <f>IF(OR(D209=0,D213="　",1*MID(D216,1,2)=1,1*MID(D216,1,2)&gt;=5),"",1)</f>
        <v>1</v>
      </c>
      <c r="L217" s="68">
        <f>IFERROR(D212*K217,"")</f>
        <v>1</v>
      </c>
    </row>
    <row r="218" spans="2:12" ht="11.1" customHeight="1">
      <c r="B218" s="31" t="s">
        <v>11</v>
      </c>
      <c r="C218" s="10" t="s">
        <v>10</v>
      </c>
      <c r="D218" s="75">
        <v>3.9</v>
      </c>
      <c r="F218" s="24">
        <v>10</v>
      </c>
      <c r="G218" s="17" t="str" cm="1">
        <f t="array" ref="G218">IF(OR(D209=0,D213="　",1*MID(D216,1,2)=1,1*MID(D216,1,2)&gt;=5),"",_xlfn.IFS(MID(D214,1,3)="ｱﾙﾐ","頭部防錆油",MID(D214,1,3)&lt;&gt;"ｱﾙﾐ","余長キャップ"))</f>
        <v>余長キャップ</v>
      </c>
      <c r="H218" s="29" t="str" cm="1">
        <f t="array" ref="H218">_xlfn.IFS(OR(D209=0,D213="　",1*MID(D216,1,2)=1,1*MID(D216,1,2)&gt;=5),"",MID(D214,1,3)="ｱﾙﾐ","PCコートC",MID(D214,1,3)&lt;&gt;"ｱﾙﾐ","TC"&amp;MID(D213,4,1)&amp;"、高密度ポリエチレン")</f>
        <v>TC5、高密度ポリエチレン</v>
      </c>
      <c r="I218" s="52" t="str" cm="1">
        <f t="array" ref="I218">_xlfn.IFS(OR(D209=0,D213="　",1*MID(D216,1,2)=1,1*MID(D216,1,2)&gt;=5),"",MID(D214,1,3)="ｱﾙﾐ","W="&amp;IF(MID(D213,4,1)="5",_xlfn.SWITCH(1*MID(LEFT(D213, LEN(D213)-1),6,2),1,1.9,2,1.3,3,1.3,4,1.3,5,1.6,6,1.6,7,1.6,8,3.1,9,3.1,10,3.1,11,3.1,12,3.1),"G6"&amp;_xlfn.SWITCH(1*MID(LEFT(D213, LEN(D213)-1),6,2),1,1.8,2,1.3,3,1.8,4,1.8,5,3.3,6,3.3,7,3.3,8,9.9,9,9.9,10,9.9,11,9.9,12,9.9,13,9.9,14,9.9)),MID(D214,1,3)&lt;&gt;"ｱﾙﾐ","n=1")</f>
        <v>n=1</v>
      </c>
      <c r="J218" s="16" t="str" cm="1">
        <f t="array" ref="J218">_xlfn.IFS(OR(D209=0,D213="　",1*MID(D216,1,2)=1,1*MID(D216,1,2)&gt;=5),"",MID(D214,1,3)="ｱﾙﾐ","kg",MID(D214,1,3)&lt;&gt;"ｱﾙﾐ","式")</f>
        <v>式</v>
      </c>
      <c r="K218" s="80" cm="1">
        <f t="array" ref="K218">_xlfn.IFS(OR(D209=0,D213="　",1*MID(D216,1,2)=1,1*MID(D216,1,2)&gt;=5),"",MID(D214,1,3)="ｱﾙﾐ",_xlfn.SWITCH(MID(D213,4,1),"5",_xlfn.SWITCH(1*MID(D213,6,FIND("H",D213,6)-6),1,1.9,2,1.3,3,1.3,4,1.3,5,1.6,6,1.6,7,1.6,8,3.1,9,3.1,10,3.1,11,3.1,12,3.1),"6",_xlfn.SWITCH(1*MID(D213,6,FIND("H",D213,6)-6),1,1.8,2,1.3,3,1.8,4,1.8,5,3.3,6,3.3,7,3.3,8,9.9,9,9.9,10,9.9,11,9.9,12,9.9,13,9.9,14,9.9)),MID(D214,1,3)&lt;&gt;"ｱﾙﾐ",1)</f>
        <v>1</v>
      </c>
      <c r="L218" s="68">
        <f>IFERROR(D212*K218,"")</f>
        <v>1</v>
      </c>
    </row>
    <row r="219" spans="2:12" ht="11.1" customHeight="1">
      <c r="B219" s="39" t="s">
        <v>18</v>
      </c>
      <c r="C219" s="40" t="s">
        <v>10</v>
      </c>
      <c r="D219" s="75">
        <v>3</v>
      </c>
      <c r="F219" s="24">
        <v>11</v>
      </c>
      <c r="G219" s="17" t="str">
        <f>IF(OR(D209=0,D213="　",1*MID(D216,1,2)=1,1*MID(D216,1,2)&gt;=5),"","配列スペーサ")</f>
        <v>配列スペーサ</v>
      </c>
      <c r="H219" s="29" t="str">
        <f>IF(OR(D209=0,D213="　",1*MID(D216,1,2)=1,1*MID(D216,1,2)&gt;=5),"",IF(MID(D213,4,1)="5","PS5-"&amp;_xlfn.SWITCH(1*MID(D213,6,FIND("H",D213,6)-6),1,"7",2,"2",3,"3",4,"4",5,"7",6,"7",7,"7",8,"12",9,"12",10,"12",11,"12",12,"12"),"PS6-"&amp;_xlfn.SWITCH(1*MID(D213,6,FIND("H",D213,6)-6),1,"7",2,"2",3,"3",4,"4",5,"7",6,"7",7,"7",8,"12",9,"12",10,"12",11,"12",12,"12",13,"14",14,"14",15,"19",16,"19",17,"19",18,"19",19,"19"))&amp;"、ポリエチレン")</f>
        <v>PS5-2、ポリエチレン</v>
      </c>
      <c r="I219" s="52" t="str">
        <f>IF(OR(D209=0,D213="　",1*MID(D216,1,2)=1,1*MID(D216,1,2)&gt;=5),"","n=2")</f>
        <v>n=2</v>
      </c>
      <c r="J219" s="16" t="str">
        <f>IF(OR(D209=0,D213="　",1*MID(D216,1,2)=1,1*MID(D216,1,2)&gt;=5),"","個")</f>
        <v>個</v>
      </c>
      <c r="K219" s="32">
        <f>IF(OR(D209=0,D213="　",1*MID(D216,1,2)=1,1*MID(D216,1,2)&gt;=5),"",2)</f>
        <v>2</v>
      </c>
      <c r="L219" s="68">
        <f>IFERROR(D212*K219,"")</f>
        <v>2</v>
      </c>
    </row>
    <row r="220" spans="2:12" ht="11.1" customHeight="1">
      <c r="B220" s="36" t="s">
        <v>17</v>
      </c>
      <c r="C220" s="11" t="s">
        <v>16</v>
      </c>
      <c r="D220" s="54">
        <v>90</v>
      </c>
      <c r="F220" s="24">
        <v>12</v>
      </c>
      <c r="G220" s="17" t="str">
        <f>IF(OR(D209=0,D213="　"),"","スペーサ")</f>
        <v>スペーサ</v>
      </c>
      <c r="H220" s="29" t="str" cm="1">
        <f t="array" ref="H220">IF(OR(D209=0,D213="　"),"",IF(MID(D213,4,1)="5","S5-"&amp;_xlfn.IFS(1*MID(D213,6,FIND("H",D213,6)-6)&lt;6,"5",1*MID(D213,6,FIND("H",D213,6)-6)&lt;9,"8",1*MID(D213,6,FIND("H",D213,6)-6)&gt;8,"12"),"S6-"&amp;_xlfn.IFS(1*MID(D213,6,FIND("H",D213,6)-6)&lt;4,"3",1*MID(D213,6,FIND("H",D213,6)-6)&lt;7,"6",1*MID(D213,6,FIND("H",D213,6)-6)&lt;10,"9",1*MID(D213,6,FIND("H",D213,6)-6)&lt;13,"12",1*MID(D213,6,FIND("H",D213,6)-6)&lt;15,"14",1*MID(D213,6,FIND("H",D213,6)-6)&lt;20,"19"))&amp;"、ポリプロピレン")</f>
        <v>S5-5、ポリプロピレン</v>
      </c>
      <c r="I220" s="58" t="str">
        <f>IF(OR(D209=0,D213="　"),"","n=mround(アンカー体長－0.4)÷@1.0m, 1.0)")</f>
        <v>n=mround(アンカー体長－0.4)÷@1.0m, 1.0)</v>
      </c>
      <c r="J220" s="16" t="str">
        <f>IF(OR(D209=0,D213="　"),"","個")</f>
        <v>個</v>
      </c>
      <c r="K220" s="38">
        <f>IF(OR(D209=0,D213="　"),"",MROUND((D219-0.4)/1,1))</f>
        <v>3</v>
      </c>
      <c r="L220" s="67">
        <f>IFERROR(D212*K220,"")</f>
        <v>3</v>
      </c>
    </row>
    <row r="221" spans="2:12" ht="11.1" customHeight="1">
      <c r="B221" s="41" t="s">
        <v>37</v>
      </c>
      <c r="C221" s="5" t="s">
        <v>16</v>
      </c>
      <c r="D221" s="66" cm="1">
        <f t="array" ref="D221">IF(OR(D209=0,D213="　"),"",_xlfn.SWITCH(1*MID(D216,1,2),0,_xlfn.SWITCH(1*MID(D213,4,1),5,_xlfn.SWITCH(1*MID(LEFT(D213, LEN(D213)-1),6,2),1,90,2,90,3,90,4,90,5,90,6,115,7,115,8,115,9,135,10,135,11,135,12,135),6,_xlfn.SWITCH(1*MID(LEFT(D213, LEN(D213)-1),6,2),1,90,2,90,3,90,4,115,5,115,6,115,7,135,8,135,9,135,10,146,11,146,12,146,13,165,14,165)),1,_xlfn.SWITCH(1*MID(D213,4,1),5,_xlfn.SWITCH(1*MID(LEFT(D213, LEN(D213)-1),6,2),1,90,2,90,3,90,4,90,5,115,6,115,7,135,8,135,9,135,10,135,11,165,12,165),6,_xlfn.SWITCH(1*MID(LEFT(D213, LEN(D213)-1),6,2),1,90,2,90,3,115,4,115,5,135,6,135,7,135,8,135,9,135,10,165,11,165,12,165,13,165,14,165)),2,_xlfn.SWITCH(1*MID(D213,4,1),5,_xlfn.SWITCH(1*MID(LEFT(D213, LEN(D213)-1),6,2),1,90,2,90,3,115,4,115,5,115,6,115,7,135,8,135,9,146,10,146,11,146,12,146),6,_xlfn.SWITCH(1*MID(LEFT(D213, LEN(D213)-1),6,2),1,90,2,90,3,115,4,115,5,135,6,135,7,146,8,146,9,146,10,165,11,165,12,165,13,216,14,216)),3,_xlfn.SWITCH(1*MID(D213,4,1),5,_xlfn.SWITCH(1*MID(LEFT(D213, LEN(D213)-1),6,2),1,115,2,115,3,115,4,115,5,115,6,135,7,135,8,135,9,146,10,146,11,146,12,146),6,_xlfn.SWITCH(1*MID(LEFT(D213, LEN(D213)-1),6,2),1,115,2,115,3,115,4,135,5,135,6,135,7,146,8,146,9,146,10,165,11,165,12,165,13,216,14,216)),4,_xlfn.SWITCH(1*MID(D213,4,1),5,_xlfn.SWITCH(1*MID(LEFT(D213, LEN(D213)-1),6,2),1,115,2,115,3,115,4,115,5,115,6,135,7,135,8,135,9,146,10,146,11,146,12,146),6,_xlfn.SWITCH(1*MID(LEFT(D213, LEN(D213)-1),6,2),1,115,2,115,3,115,4,135,5,135,6,135,7,146,8,146,9,146,10,165,11,165,12,165,13,216,14,216)),5,_xlfn.SWITCH(1*MID(D213,4,1),5,_xlfn.SWITCH(1*MID(LEFT(D213, LEN(D213)-1),6,2),1,90,2,90,3,115,4,115,5,115,6,115,7,135,8,135,9,165,10,165,11,165,12,165),6,_xlfn.SWITCH(1*MID(LEFT(D213, LEN(D213)-1),6,2),1,90,2,90,3,115,4,115,5,135,6,135,7,165,8,165,9,165,10,165,11,165,12,165,13,216,14,216)),6,_xlfn.SWITCH(1*MID(D213,4,1),5,_xlfn.SWITCH(1*MID(LEFT(D213, LEN(D213)-1),6,2),1,115,2,115,3,115,4,115,5,115,6,135,7,135,8,135,9,165,10,165,11,165,12,165),6,_xlfn.SWITCH(1*MID(LEFT(D213, LEN(D213)-1),6,2),1,115,2,115,3,115,4,135,5,135,6,135,7,165,8,165,9,165,10,165,11,165,12,165,13,216,14,216)),7,_xlfn.SWITCH(1*MID(D213,4,1),5,_xlfn.SWITCH(1*MID(LEFT(D213, LEN(D213)-1),6,2),1,115,2,115,3,115,4,115,5,115,6,135,7,135,8,135,9,165,10,165,11,165,12,165),6,_xlfn.SWITCH(1*MID(LEFT(D213, LEN(D213)-1),6,2),1,115,2,115,3,115,4,135,5,135,6,135,7,165,8,165,9,165,10,165,11,165,12,165,13,216,14,216))))</f>
        <v>90</v>
      </c>
      <c r="F221" s="24">
        <v>13</v>
      </c>
      <c r="G221" s="17" t="str">
        <f>IF(OR(D209=0,D213="　"),"","ﾊﾟｲﾛｯﾄｷｬｯﾌﾟ")</f>
        <v>ﾊﾟｲﾛｯﾄｷｬｯﾌﾟ</v>
      </c>
      <c r="H221" s="29" t="str" cm="1">
        <f t="array" ref="H221">IF(OR(D209=0,D213="　"),"",IF(MID(D213,4,1)="5","PC5-"&amp;_xlfn.IFS(1*MID(D213,6,FIND("H",D213,6)-6)&lt;5,"4",1*MID(D213,6,FIND("H",D213,6)-6)&lt;8,"7",1*MID(D213,6,FIND("H",D213,6)-6)&lt;10,"9",1*MID(D213,6,FIND("H",D213,6)-6)&gt;9,"12"),"PC6-"&amp;_xlfn.IFS(1*MID(D213,6,FIND("H",D213,6)-6)&lt;4,"3",1*MID(D213,6,FIND("H",D213,6)-6)&lt;8,"7",1*MID(D213,6,FIND("H",D213,6)-6)&lt;13,"12",1*MID(D213,6,FIND("H",D213,6)-6)&lt;15,"14",1*MID(D213,6,FIND("H",D213,6)-6)&lt;20,"19"))&amp;"、ポリプロピレン")</f>
        <v>PC5-4、ポリプロピレン</v>
      </c>
      <c r="I221" s="52" t="str">
        <f>IF(OR(D209=0,D213="　"),"","n=1")</f>
        <v>n=1</v>
      </c>
      <c r="J221" s="16" t="str">
        <f>IF(OR(D209=0,D213="　"),"","個")</f>
        <v>個</v>
      </c>
      <c r="K221" s="32">
        <f>IF(OR(D209=0,D213="　"),"",1)</f>
        <v>1</v>
      </c>
      <c r="L221" s="68">
        <f>IFERROR(D212*K221,"")</f>
        <v>1</v>
      </c>
    </row>
    <row r="222" spans="2:12" ht="11.1" customHeight="1">
      <c r="B222" s="43" t="s">
        <v>30</v>
      </c>
      <c r="C222" s="44" t="s">
        <v>31</v>
      </c>
      <c r="D222" s="59" t="str">
        <f>IF(OR(D209=0,D213="　"),"",IF(D220=D221,"OK","CHECK"))</f>
        <v>OK</v>
      </c>
      <c r="F222" s="24">
        <v>14</v>
      </c>
      <c r="G222" s="17" t="str">
        <f>IF(OR(D209=0,D213="　"),"","結束バンド")</f>
        <v>結束バンド</v>
      </c>
      <c r="H222" s="29" t="str">
        <f>IF(OR(D209=0,D213="　"),"","66ナイロン")</f>
        <v>66ナイロン</v>
      </c>
      <c r="I222" s="58" t="str">
        <f>IF(OR(D209=0,D213="　"),"","n=スペーサ数×2")</f>
        <v>n=スペーサ数×2</v>
      </c>
      <c r="J222" s="16" t="str">
        <f>IF(OR(D209=0,D213="　"),"","本")</f>
        <v>本</v>
      </c>
      <c r="K222" s="38">
        <f>IF(OR(D209=0,D213="　"),"",2*K220)</f>
        <v>6</v>
      </c>
      <c r="L222" s="67">
        <f>IFERROR(D212*K222,"")</f>
        <v>6</v>
      </c>
    </row>
    <row r="223" spans="2:12" ht="11.1" customHeight="1">
      <c r="B223" s="45" t="s">
        <v>12</v>
      </c>
      <c r="C223" s="9" t="s">
        <v>10</v>
      </c>
      <c r="D223" s="60">
        <f>IF(OR(D209=0,D213="　"),"──",SUM(D217:D218))</f>
        <v>4.5</v>
      </c>
      <c r="F223" s="24">
        <v>15</v>
      </c>
      <c r="G223" s="17" t="str">
        <f>IF(OR(D209=0,D213="　"),"","結束テープ")</f>
        <v>結束テープ</v>
      </c>
      <c r="H223" s="29" t="str">
        <f>IF(OR(D209=0,D213="　"),"","フィラメントテープ")</f>
        <v>フィラメントテープ</v>
      </c>
      <c r="I223" s="58" t="str">
        <f>IF(OR(D209=0,D213="　"),"","L=(自由長+緊張部長)÷@1.0m×テープ係数"&amp;IF(MID(D213,4,1)="5",_xlfn.IFS(1*MID(LEFT(D213, LEN(D213)-1),6,2)&lt;4,"0.8",1*MID(LEFT(D213, LEN(D213)-1),6,2)&lt;7,"1.0",1*MID(LEFT(D213, LEN(D213)-1),6,2)&lt;10,"1.2",1*MID(LEFT(D213, LEN(D213)-1),6,2)&lt;13,"1.4"),_xlfn.IFS(1*MID(LEFT(D213, LEN(D213)-1),6,2)&lt;4,"1.0",1*MID(LEFT(D213, LEN(D213)-1),6,2)&lt;7,"1.2",1*MID(LEFT(D213, LEN(D213)-1),6,2)&lt;10,"1.4",1*MID(LEFT(D213, LEN(D213)-1),6,2)&lt;15,"1.8")))</f>
        <v>L=(自由長+緊張部長)÷@1.0m×テープ係数0.8</v>
      </c>
      <c r="J223" s="16" t="str">
        <f>IF(OR(D209=0,D213="　"),"","m")</f>
        <v>m</v>
      </c>
      <c r="K223" s="42" cm="1">
        <f t="array" ref="K223">IF(OR(D209=0,D213="　"),"",MROUND((SUM(D223,D224))/1*IF(MID(D213,4,1)="5",_xlfn.SWITCH(1*MID(D213,6,FIND("H",D213,6)-6),1,0.8,2,0.8,3,0.8,4,1,5,1,6,1,7,1.2,8,1.2,9,1.2,10,1.4,11,1.4,12,1.4),_xlfn.SWITCH(1*MID(D213,6,FIND("H",D213,6)-6),1,1,2,1,3,1,4,1.2,5,1.2,6,1.2,7,1.4,8,1.4,9,1.4,10,1.8,11,1.8,12,1.8,13,1.8,14,1.8,15,2.5,16,2.5,17,2.5,18,2.5,19,2.5)),0.1))</f>
        <v>4.4000000000000004</v>
      </c>
      <c r="L223" s="69">
        <f>IFERROR(D212*K223,"")</f>
        <v>4.4000000000000004</v>
      </c>
    </row>
    <row r="224" spans="2:12" ht="11.1" customHeight="1">
      <c r="B224" s="47" t="s">
        <v>13</v>
      </c>
      <c r="C224" s="10" t="s">
        <v>10</v>
      </c>
      <c r="D224" s="61" cm="1">
        <f t="array" ref="D224">IF(OR(D209=0,D213="　"),"──",IF(MID(D213,4,1)="5",_xlfn.IFS(1*MID(LEFT(D213,LEN(D213)-1),6,2)&lt;8,1,1*MID(LEFT(D213,LEN(D213)-1),6,2)&lt;13,1.2),_xlfn.IFS(1*MID(LEFT(D213,LEN(D213)-1),6,2)&lt;6,1,1*MID(LEFT(D213,LEN(D213)-1),6,2)&lt;15,1.2)))</f>
        <v>1</v>
      </c>
      <c r="F224" s="24">
        <v>16</v>
      </c>
      <c r="G224" s="17" t="str">
        <f>IF(OR(D209=0,D213="　",1*MID(D216,1,2)=1,1*MID(D216,1,2)=5),"","注入ホース")</f>
        <v>注入ホース</v>
      </c>
      <c r="H224" s="29" t="str">
        <f>IF(OR(D209=0,D213="　",1*MID(D216,1,2)=1,1*MID(D216,1,2)=5),"","φ16/20、高密度ポリエチレン")</f>
        <v>φ16/20、高密度ポリエチレン</v>
      </c>
      <c r="I224" s="46" t="str">
        <f>IF(OR(D209=0,D213="　",1*MID(D216,1,2)=1,1*MID(D216,1,2)=5),"","L=テンドン長")</f>
        <v>L=テンドン長</v>
      </c>
      <c r="J224" s="16" t="str">
        <f>IF(OR(D209=0,D213="　",1*MID(D216,1,2)=1,1*MID(D216,1,2)=5),"","m")</f>
        <v>m</v>
      </c>
      <c r="K224" s="30">
        <f>IF(OR(D209=0,D213="　",1*MID(D216,1,2)=1,1*MID(D216,1,2)=5),"",MROUND(D226,0.1))</f>
        <v>8.7000000000000011</v>
      </c>
      <c r="L224" s="67">
        <f>IFERROR(D212*K224,"")</f>
        <v>8.7000000000000011</v>
      </c>
    </row>
    <row r="225" spans="2:12" ht="11.1" customHeight="1">
      <c r="B225" s="48" t="s">
        <v>19</v>
      </c>
      <c r="C225" s="10" t="s">
        <v>14</v>
      </c>
      <c r="D225" s="62">
        <f>IF(OR(D209=0,D213="　"),"──",0.2)</f>
        <v>0.2</v>
      </c>
      <c r="F225" s="24">
        <v>17</v>
      </c>
      <c r="G225" s="17" t="str" cm="1">
        <f t="array" ref="G225">_xlfn.IFS(OR(D209=0,D213="　",MID(D215,1,2)="なし",MID(D215,1,3)="受圧体",1*MID(D216,1,2)=1,1*MID(D216,1,2)&gt;=5),"",MID(D215,1,3)="のり面","のり面角度台座",MID(D215,1,3)="構造物","構造物壁面台座",MID(D215,1,3)="土留め","土留め台座",MID(D215,1,3)="個別台","個別台座")</f>
        <v>のり面角度台座</v>
      </c>
      <c r="H225" s="46" t="str" cm="1">
        <f t="array" ref="H225">IF(OR(D209=0,D213="　",G225=""),"",_xlfn.IFS(MID(D215,1,3)="のり面",IF(1*MID(D213,4,1)=5,_xlfn.IFS(1*MID(D213,6,FIND("H",D213,6)-6)&lt;5,"ST140",1*MID(D213,6,FIND("H",D213,6)-6)&lt;8,"ST170",1*MID(D213,6,FIND("H",D213,6)-6)&lt;13,"ST220"),_xlfn.IFS(1*MID(D213,6,FIND("H",D213,6)-6)&lt;4,"ST140",1*MID(D213,6,FIND("H",D213,6)-6)&lt;5,"ST170",1*MID(D213,6,FIND("H",D213,6)-6)&lt;8,"ST220",1*MID(D213,6,FIND("H",D213,6)-6)&lt;20,"非該当"))&amp;"、FCD450相当",OR(MID(D215,1,3)="構造物",MID(D215,1,3)="土留め",MID(D215,1,3)="個別台"),D213&amp;"用"&amp;_xlfn.IFS(MID(D215,1,3)="構造物","",MID(D215,1,3)="土留め",IF(1*MID(D213,4,1)=5,_xlfn.SWITCH(1*MID(D213,6,FIND("H",D213,6)-6),1,"DA110",2,"DA220",3,"DA330",4,"DA440",5,"DA550",6,"DA660",7,"DA770",8,"DA880",9,"DA990",10,"DA1100",11,"DA1210",12,"DA1320"),_xlfn.SWITCH(1*MID(D213,6,FIND("H",D213,6)-6),1,"DA220",2,"DA330",3,"DA550",4,"DA660",5,"DA880",6,"DA990",7,"DA1100",8,"DA1320",9,"DA1410",10,"DA1570",11,"DA1730",12,"DA1880",13,"DA2040",14,"DA2200")),MID(D215,1,3)="個別台",D228)))&amp;IF(OR(D209=0,D213="　",G225=""),"","、"&amp;_xlfn.IFS(MID(D211,1,3)="防食Ⅱ","HDZT77めっき",MID(D211,5,2)="塩害","ｱﾙﾐﾅｲｽﾞ処理",MID(D211,5,2)="酸性","重防食処理"))</f>
        <v>ST140、FCD450相当、HDZT77めっき</v>
      </c>
      <c r="I225" s="52" t="str">
        <f>IF(OR(D209=0,D213="　",G225=""),"","n=1")</f>
        <v>n=1</v>
      </c>
      <c r="J225" s="16" t="str">
        <f>IF(OR(D209=0,D213="　",G225=""),"","台")</f>
        <v>台</v>
      </c>
      <c r="K225" s="32">
        <f>IF(OR(D209=0,D213="　",G225=""),"",1)</f>
        <v>1</v>
      </c>
      <c r="L225" s="68">
        <f>IFERROR(D212*K225,"")</f>
        <v>1</v>
      </c>
    </row>
    <row r="226" spans="2:12" ht="11.1" customHeight="1">
      <c r="B226" s="50" t="s">
        <v>20</v>
      </c>
      <c r="C226" s="10" t="s">
        <v>10</v>
      </c>
      <c r="D226" s="63">
        <f>IF(OR(D209=0,D213="　"),"──",SUM(D219,D223:D225))</f>
        <v>8.6999999999999993</v>
      </c>
      <c r="F226" s="24">
        <v>18</v>
      </c>
      <c r="G226" s="17" t="str">
        <f>IF(OR(D209=0,D213="　",MID(D215,1,3)&lt;&gt;"のり面",1*MID(D216,1,2)=1,1*MID(D216,1,2)&gt;=5),"","補剛板")</f>
        <v>補剛板</v>
      </c>
      <c r="H226" s="46" t="str" cm="1">
        <f t="array" ref="H226">IF(OR(D209=0,D213="　",G226=""),"",IF(MID(D213,4,1)="5","□"&amp;_xlfn.SWITCH(1*MID(D213,6,FIND("H",D213,6)-6),1,"210φ131t12",2,"210φ131t12",3,"240φ131t12",4,"270φ131t12",5,"280φ143t12",6,"310φ143t16",7,"350φ143t19",8,"350φ180t19",9,"350φ180t19",10,"350φ180t19",11,"350φ180t22",12,"350φ180t22"),"□"&amp;_xlfn.SWITCH(1*MID(D213,6,FIND("H",D213,6)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209=0,D213="　",G226=""),"","、"&amp;_xlfn.IFS(MID(D211,1,3)="防食Ⅱ","HDZT77めっき",MID(D211,5,2)="塩害","ｱﾙﾐﾅｲｽﾞ処理",MID(D211,5,2)="酸性","重防食処理"))</f>
        <v>□210φ131t12、SS400相当、HDZT77めっき</v>
      </c>
      <c r="I226" s="52" t="str">
        <f>IF(OR(D209=0,D213="　",G226=""),"","n=1")</f>
        <v>n=1</v>
      </c>
      <c r="J226" s="16" t="str">
        <f>IF(OR(D209=0,D213="　",G226=""),"","枚")</f>
        <v>枚</v>
      </c>
      <c r="K226" s="32">
        <f>IF(OR(D209=0,D213="　",G226=""),"",1)</f>
        <v>1</v>
      </c>
      <c r="L226" s="68">
        <f>IFERROR(D212*K226,"")</f>
        <v>1</v>
      </c>
    </row>
    <row r="227" spans="2:12" ht="11.1" customHeight="1">
      <c r="B227" s="51" t="s">
        <v>15</v>
      </c>
      <c r="C227" s="12" t="s">
        <v>10</v>
      </c>
      <c r="D227" s="64">
        <f>IF(OR(D209=0,D213="　"),"──",0.25)</f>
        <v>0.25</v>
      </c>
      <c r="F227" s="24">
        <v>19</v>
      </c>
      <c r="G227" s="17" t="str" cm="1">
        <f t="array" ref="G227">_xlfn.IFS(OR(D209=0,D213="　",MID(D214,1,3)="ｱﾙﾐ",1*MID(D216,1,2)=1,1*MID(D216,1,2)&gt;=5),"",MID(D214,1,3)&lt;&gt;"ｱﾙﾐ","テンドン補修用塗料")</f>
        <v>テンドン補修用塗料</v>
      </c>
      <c r="H227" s="38" t="str" cm="1">
        <f t="array" ref="H227">_xlfn.IFS(OR(D209=0,D213="　",MID(D214,1,3)="ｱﾙﾐ",1*MID(D216,1,2)=1,1*MID(D216,1,2)&gt;=5),"",MID(D214,1,3)&lt;&gt;"ｱﾙﾐ","エポキシ樹脂")</f>
        <v>エポキシ樹脂</v>
      </c>
      <c r="I227" s="52" t="str" cm="1">
        <f t="array" ref="I227">_xlfn.IFS(OR(D209=0,D213="　",MID(D214,1,3)="ｱﾙﾐ",1*MID(D216,1,2)=1,1*MID(D216,1,2)&gt;=5),"",MID(D214,1,3)&lt;&gt;"ｱﾙﾐ","W=PC鋼より線本数×"&amp;IF(MID(D213,4,1)="5","0.28","0.4"))</f>
        <v>W=PC鋼より線本数×0.28</v>
      </c>
      <c r="J227" s="16" t="str" cm="1">
        <f t="array" ref="J227">_xlfn.IFS(OR(D209=0,D213="　",MID(D214,1,3)="ｱﾙﾐ",1*MID(D216,1,2)=1,1*MID(D216,1,2)&gt;=5),"",MID(D214,1,3)&lt;&gt;"ｱﾙﾐ","g")</f>
        <v>g</v>
      </c>
      <c r="K227" s="77" cm="1">
        <f t="array" ref="K227">_xlfn.IFS(OR(D209=0,D213="　",MID(D214,1,3)="ｱﾙﾐ",1*MID(D216,1,2)=1,1*MID(D216,1,2)&gt;=5),"",MID(D214,1,3)&lt;&gt;"ｱﾙﾐ",MID(D213,6,FIND("H",D213,6)-6)*IF(MID(D213,4,1)="5",0.28,0.4))</f>
        <v>0.56000000000000005</v>
      </c>
      <c r="L227" s="78">
        <f>IFERROR(D212*K227,"")</f>
        <v>0.56000000000000005</v>
      </c>
    </row>
    <row r="228" spans="2:12" ht="11.1" customHeight="1">
      <c r="B228" s="65" t="s">
        <v>32</v>
      </c>
      <c r="C228" s="3" t="s">
        <v>33</v>
      </c>
      <c r="D228" s="76"/>
      <c r="F228" s="24">
        <v>20</v>
      </c>
      <c r="G228" s="17" t="str" cm="1">
        <f t="array" ref="G228">_xlfn.IFS(OR(D209=0,D213="　",MID(D214,1,3)="ｱﾙﾐ",1*MID(D216,1,2)=1,1*MID(D216,1,2)&gt;=5),"",MID(D214,1,3)&lt;&gt;"ｱﾙﾐ","長期防錆スプレー")</f>
        <v>長期防錆スプレー</v>
      </c>
      <c r="H228" s="38" t="str" cm="1">
        <f t="array" ref="H228">_xlfn.IFS(OR(D209=0,D213="　",MID(D214,1,3)="ｱﾙﾐ",1*MID(D216,1,2)=1,1*MID(D216,1,2)&gt;=5),"",MID(D214,1,3)&lt;&gt;"ｱﾙﾐ","防錆オイル")</f>
        <v>防錆オイル</v>
      </c>
      <c r="I228" s="52" t="str" cm="1">
        <f t="array" ref="I228">_xlfn.IFS(OR(D209=0,D213="　",MID(D214,1,3)="ｱﾙﾐ",1*MID(D216,1,2)=1,1*MID(D216,1,2)&gt;=5),"",MID(D214,1,3)&lt;&gt;"ｱﾙﾐ","n=0.01×(PC鋼より線本数+"&amp;IF(MID(D213,4,1)="5","6","12")&amp;")")</f>
        <v>n=0.01×(PC鋼より線本数+6)</v>
      </c>
      <c r="J228" s="16" t="str" cm="1">
        <f t="array" ref="J228">_xlfn.IFS(OR(D209=0,D213="　",MID(D214,1,3)="ｱﾙﾐ",1*MID(D216,1,2)=1,1*MID(D216,1,2)&gt;=5),"",MID(D214,1,3)&lt;&gt;"ｱﾙﾐ","缶")</f>
        <v>缶</v>
      </c>
      <c r="K228" s="77" cm="1">
        <f t="array" ref="K228">_xlfn.IFS(OR(D209=0,D213="　",MID(D214,1,3)="ｱﾙﾐ",1*MID(D216,1,2)=1,1*MID(D216,1,2)&gt;=5),"",MID(D214,1,3)&lt;&gt;"ｱﾙﾐ",0.01*(IF(MID(D213,4,1)="5",6,12)+MID(LEFT(D213,LEN(D213)-1),6,2)))</f>
        <v>0.08</v>
      </c>
      <c r="L228" s="78">
        <f>IFERROR(D212*K228,"")</f>
        <v>0.08</v>
      </c>
    </row>
    <row r="229" spans="2:12" ht="11.1" customHeight="1">
      <c r="F229" s="24">
        <v>21</v>
      </c>
      <c r="G229" s="17" t="str">
        <f>IF(OR(D209=0,D213="　",1*MID(D216,1,2)&lt;=1,1*MID(D216,1,2)=3,,1*MID(D216,1,2)=6),"","ﾌﾘｰﾊﾟｯｶｰ注入ﾎｰｽ")</f>
        <v/>
      </c>
      <c r="H229" s="29" t="str">
        <f>IF(OR(D209=0,D213="　",1*MID(D216,1,2)&lt;=1,1*MID(D216,1,2)=3,,1*MID(D216,1,2)=6),"","φ16/20、ポリエチレン")</f>
        <v/>
      </c>
      <c r="I229" s="29" t="str">
        <f>IF(OR(D209=0,D213="　",1*MID(D216,1,2)&lt;=1,1*MID(D216,1,2)=3,,1*MID(D216,1,2)=6),"","L=自由長+緊張部長")</f>
        <v/>
      </c>
      <c r="J229" s="16" t="str">
        <f>IF(OR(D209=0,D213="　",1*MID(D216,1,2)&lt;=1,1*MID(D216,1,2)=3,,1*MID(D216,1,2)=6),"","m")</f>
        <v/>
      </c>
      <c r="K229" s="30" t="str">
        <f>IF(OR(D209=0,D213="　",1*MID(D216,1,2)&lt;=1,1*MID(D216,1,2)=3,,1*MID(D216,1,2)=6),"",D223+D224)</f>
        <v/>
      </c>
      <c r="L229" s="67" t="str">
        <f>IFERROR(D212*K229,"")</f>
        <v/>
      </c>
    </row>
    <row r="230" spans="2:12" ht="11.1" customHeight="1">
      <c r="F230" s="24">
        <v>22</v>
      </c>
      <c r="G230" s="17" t="str">
        <f>IF(OR(D209=0,D213="　",1*MID(D216,1,2)&lt;=1,1*MID(D216,1,2)=3,,1*MID(D216,1,2)=6),"","フリーパッカー")</f>
        <v/>
      </c>
      <c r="H230" s="52" t="str" cm="1">
        <f t="array" ref="H230">IF(OR(D209=0,D213="　",1*MID(D216,1,2)&lt;=1,1*MID(D216,1,2)=3,1*MID(D216,1,2)=6),"",_xlfn.SWITCH(D220,90,"PA-170",115,"PA-200",135,"PA-240",146,"PA-290",165,"PA-350",216,"PA-420")&amp;"、織布")</f>
        <v/>
      </c>
      <c r="I230" s="52" t="str">
        <f>IF(OR(D209=0,D213="　",1*MID(D216,1,2)&lt;=1,1*MID(D216,1,2)=3,1*MID(D216,1,2)=6),"","L=自由長+0.5")</f>
        <v/>
      </c>
      <c r="J230" s="16" t="str">
        <f>IF(OR(D209=0,D213="　",1*MID(D216,1,2)&lt;=1,1*MID(D216,1,2)=3,,1*MID(D216,1,2)=6),"","m")</f>
        <v/>
      </c>
      <c r="K230" s="30" t="str">
        <f>IF(OR(D209=0,D213="　",1*MID(D216,1,2)&lt;=1,1*MID(D216,1,2)=3,,1*MID(D216,1,2)=6),"",D223+0.5)</f>
        <v/>
      </c>
      <c r="L230" s="69" t="str">
        <f>IFERROR(D212*K230,"")</f>
        <v/>
      </c>
    </row>
    <row r="231" spans="2:12" ht="11.1" customHeight="1">
      <c r="F231" s="24">
        <v>23</v>
      </c>
      <c r="G231" s="17" t="str">
        <f>IF(OR(D209=0,D213="　",1*MID(D216,1,2)&lt;=1,1*MID(D216,1,2)=3,,1*MID(D216,1,2)=6),"","ﾌﾘｰﾊﾟｯｶｰ取付加工")</f>
        <v/>
      </c>
      <c r="H231" s="29" t="str">
        <f>IF(OR(D209=0,D213="　",1*MID(D216,1,2)&lt;=1,1*MID(D216,1,2)=3,,1*MID(D216,1,2)=6),"","材工")</f>
        <v/>
      </c>
      <c r="I231" s="29" t="str">
        <f>IF(OR(D209=0,D213="　",1*MID(D216,1,2)&lt;=1,1*MID(D216,1,2)=3,,1*MID(D216,1,2)=6),"","n=1")</f>
        <v/>
      </c>
      <c r="J231" s="16" t="str">
        <f>IF(OR(D209=0,D213="　",1*MID(D216,1,2)&lt;=1,1*MID(D216,1,2)=3,,1*MID(D216,1,2)=6),"","式")</f>
        <v/>
      </c>
      <c r="K231" s="32" t="str">
        <f>IF(OR(D209=0,D213="　",1*MID(D216,1,2)&lt;=1,1*MID(D216,1,2)=3,,1*MID(D216,1,2)=6),"",1)</f>
        <v/>
      </c>
      <c r="L231" s="70" t="str">
        <f>IFERROR(D212*K231,"")</f>
        <v/>
      </c>
    </row>
    <row r="232" spans="2:12" ht="11.1" customHeight="1">
      <c r="F232" s="24">
        <v>24</v>
      </c>
      <c r="G232" s="17" t="str">
        <f>IF(OR(D209=0,D213="　",1*MID(D216,1,2)&lt;=2,1*MID(D216,1,2)=5),"","フリクションパッカー")</f>
        <v/>
      </c>
      <c r="H232" s="38" t="str" cm="1">
        <f t="array" ref="H232">IF(OR(D209=0,D213="　",1*MID(D216,1,2)&lt;=2,1*MID(D216,1,2)=5),"",_xlfn.SWITCH(D220,90,"FP125",115,"FP125",135,"FP150",146,"FP175",165,"FP200",216,"FP235")&amp;"、パイレン布")</f>
        <v/>
      </c>
      <c r="I232" s="38" t="str">
        <f>IF(OR(D209=0,D213="　",1*MID(D216,1,2)&lt;=2,1*MID(D216,1,2)=5),"","L=アンカー体長+0.5")</f>
        <v/>
      </c>
      <c r="J232" s="16" t="str">
        <f>IF(OR(D209=0,D213="　",1*MID(D216,1,2)&lt;=2,1*MID(D216,1,2)=5),"","m")</f>
        <v/>
      </c>
      <c r="K232" s="30" t="str">
        <f>IF(OR(D209=0,D213="　",1*MID(D216,1,2)&lt;=2,1*MID(D216,1,2)=5),"",D219+0.5)</f>
        <v/>
      </c>
      <c r="L232" s="68" t="str">
        <f>IFERROR(D212*K232,"")</f>
        <v/>
      </c>
    </row>
    <row r="233" spans="2:12" ht="11.1" customHeight="1">
      <c r="F233" s="24">
        <v>25</v>
      </c>
      <c r="G233" s="17" t="str">
        <f>IF(OR(D209=0,D213="　",1*MID(D216,1,2)&lt;=2,1*MID(D216,1,2)=5),"","ﾌﾘｸｼｮﾝﾊﾟｯｶｰ取付加工")</f>
        <v/>
      </c>
      <c r="H233" s="29" t="str">
        <f>IF(OR(D209=0,D213="　",1*MID(D216,1,2)&lt;=2,1*MID(D216,1,2)=5),"","材工")</f>
        <v/>
      </c>
      <c r="I233" s="29" t="str">
        <f>IF(OR(D209=0,D213="　",1*MID(D216,1,2)&lt;=2,1*MID(D216,1,2)=5),"","n=1")</f>
        <v/>
      </c>
      <c r="J233" s="16" t="str">
        <f>IF(OR(D209=0,D213="　",1*MID(D216,1,2)&lt;=2,1*MID(D216,1,2)=5),"","式")</f>
        <v/>
      </c>
      <c r="K233" s="32" t="str">
        <f>IF(OR(D209=0,D213="　",1*MID(D216,1,2)&lt;=2,1*MID(D216,1,2)=5),"",1)</f>
        <v/>
      </c>
      <c r="L233" s="70" t="str">
        <f>IFERROR(D212*K233,"")</f>
        <v/>
      </c>
    </row>
    <row r="234" spans="2:12" ht="11.1" customHeight="1">
      <c r="F234" s="24">
        <v>26</v>
      </c>
      <c r="G234" s="17" t="str">
        <f>IF(OR(D209=0,D213="　",1*MID(D216,1,2)=0,1*MID(D216,1,2)=2,1*MID(D216,1,2)=3,1*MID(D216,1,2)=4),"","試験ﾊﾟｯｶｰ水注入ﾎｰｽ")</f>
        <v/>
      </c>
      <c r="H234" s="38" t="str">
        <f>IF(OR(D209=0,D213="　",1*MID(D216,1,2)=0,1*MID(D216,1,2)=2,1*MID(D216,1,2)=3,1*MID(D216,1,2)=4),"","φ4/6、ナイロン")</f>
        <v/>
      </c>
      <c r="I234" s="38" t="str">
        <f>IF(OR(D209=0,D213="　",1*MID(D216,1,2)=0,1*MID(D216,1,2)=2,1*MID(D216,1,2)=3,1*MID(D216,1,2)=4),"","L=自由長+緊張部長")</f>
        <v/>
      </c>
      <c r="J234" s="79" t="str">
        <f>IF(OR(D209=0,D213="　",1*MID(D216,1,2)=0,1*MID(D216,1,2)=2,1*MID(D216,1,2)=3,1*MID(D216,1,2)=4),"","m")</f>
        <v/>
      </c>
      <c r="K234" s="80" t="str">
        <f>IF(OR(D209=0,D213="　",1*MID(D216,1,2)=0,1*MID(D216,1,2)=2,1*MID(D216,1,2)=3,1*MID(D216,1,2)=4),"",D223+D224)</f>
        <v/>
      </c>
      <c r="L234" s="81" t="str">
        <f>IFERROR(D212*K234,"")</f>
        <v/>
      </c>
    </row>
    <row r="235" spans="2:12" ht="11.1" customHeight="1">
      <c r="F235" s="24">
        <v>27</v>
      </c>
      <c r="G235" s="17" t="str">
        <f>IF(OR(D209=0,D213="　",1*MID(D216,1,2)=0,1*MID(D216,1,2)=2,1*MID(D216,1,2)=3,1*MID(D216,1,2)=4),"","引抜試験パッカー")</f>
        <v/>
      </c>
      <c r="H235" s="38" t="str" cm="1">
        <f t="array" ref="H235">IF(OR(D209=0,D213="　",1*MID(D216,1,2)=0,1*MID(D216,1,2)=2,1*MID(D216,1,2)=3,1*MID(D216,1,2)=4),"",_xlfn.SWITCH(D220,90,"PU90",115,"PU115",135,"PU135",146,"PU146",165,"PU165")&amp;"、3層構造(鋼管･ゴム･布)")</f>
        <v/>
      </c>
      <c r="I235" s="38" t="str">
        <f>IF(OR(D209=0,D213="　",1*MID(D216,1,2)=0,1*MID(D216,1,2)=2,1*MID(D216,1,2)=3,1*MID(D216,1,2)=4),"","n=1")</f>
        <v/>
      </c>
      <c r="J235" s="79" t="str">
        <f>IF(OR(D209=0,D213="　",1*MID(D216,1,2)=0,1*MID(D216,1,2)=2,1*MID(D216,1,2)=3,1*MID(D216,1,2)=4),"","式")</f>
        <v/>
      </c>
      <c r="K235" s="32" t="str" cm="1">
        <f t="array" ref="K235">IF(OR(D209=0,D213="　",1*MID(D216,1,2)=0,1*MID(D216,1,2)=2,1*MID(D216,1,2)=3,1*MID(D216,1,2)=4),"",_xlfn.IFS(OR(1*MID(D216,1,2)=1,1*MID(D216,1,2)&gt;=5),1))</f>
        <v/>
      </c>
      <c r="L235" s="68" t="str">
        <f>IFERROR(D212*K235,"")</f>
        <v/>
      </c>
    </row>
    <row r="236" spans="2:12" ht="11.1" customHeight="1">
      <c r="F236" s="24">
        <v>28</v>
      </c>
      <c r="G236" s="17" t="str">
        <f>IF(OR(D209=0,D213="　",1*MID(D216,1,2)=0,1*MID(D216,1,2)=2,1*MID(D216,1,2)=3,1*MID(D216,1,2)=4),"","引抜試験パッカー取付加工")</f>
        <v/>
      </c>
      <c r="H236" s="38" t="str">
        <f>IF(OR(D209=0,D213="　",1*MID(D216,1,2)=0,1*MID(D216,1,2)=2,1*MID(D216,1,2)=3,1*MID(D216,1,2)=4),"","材工")</f>
        <v/>
      </c>
      <c r="I236" s="38" t="str">
        <f>IF(OR(D209=0,D213="　",1*MID(D216,1,2)=0,1*MID(D216,1,2)=2,1*MID(D216,1,2)=3,1*MID(D216,1,2)=4),"","n=1")</f>
        <v/>
      </c>
      <c r="J236" s="79" t="str" cm="1">
        <f t="array" ref="J236">IF(OR(D209=0,D213="　",1*MID(D216,1,2)=0,1*MID(D216,1,2)=2,1*MID(D216,1,2)=3,1*MID(D216,1,2)=4),"",_xlfn.IFS(OR(1*MID(D216,1,2)=1,1*MID(D216,1,2)&gt;=5),"式"))</f>
        <v/>
      </c>
      <c r="K236" s="32" t="str" cm="1">
        <f t="array" ref="K236">IF(OR(D209=0,D213="　",1*MID(D216,1,2)=0,1*MID(D216,1,2)=2,1*MID(D216,1,2)=3,1*MID(D216,1,2)=4),"",_xlfn.IFS(OR(1*MID(D216,1,2)=1,1*MID(D216,1,2)&gt;=5),1))</f>
        <v/>
      </c>
      <c r="L236" s="68" t="str">
        <f>IFERROR(D212*K236,"")</f>
        <v/>
      </c>
    </row>
    <row r="237" spans="2:12" ht="11.1" customHeight="1">
      <c r="F237" s="24">
        <v>29</v>
      </c>
      <c r="G237" s="17" t="str">
        <f>IF(OR(D209=0,D213="　",1*MID(D216,1,2)=0,1*MID(D216,1,2)=2,1*MID(D216,1,2)=3,1*MID(D216,1,2)=4),"","自由長洗浄ﾎｰｽ")</f>
        <v/>
      </c>
      <c r="H237" s="38" t="str">
        <f>IF(OR(D209=0,D213="　",1*MID(D216,1,2)=0,1*MID(D216,1,2)=2,1*MID(D216,1,2)=3,1*MID(D216,1,2)=4),"","φ16/20、ポリエチレン")</f>
        <v/>
      </c>
      <c r="I237" s="38" t="str">
        <f>IF(OR(D209=0,D213="　",1*MID(D216,1,2)=0,1*MID(D216,1,2)=2,1*MID(D216,1,2)=3,1*MID(D216,1,2)=4),"","L=自由長+0.5")</f>
        <v/>
      </c>
      <c r="J237" s="79" t="str">
        <f>IF(OR(D209=0,D213="　",1*MID(D216,1,2)=0,1*MID(D216,1,2)=2,1*MID(D216,1,2)=3,1*MID(D216,1,2)=4),"","m")</f>
        <v/>
      </c>
      <c r="K237" s="32" t="str">
        <f>IF(OR(D209=0,D213="　",1*MID(D216,1,2)=0,1*MID(D216,1,2)=2,1*MID(D216,1,2)=3,1*MID(D216,1,2)=4),"",D223+0.5)</f>
        <v/>
      </c>
      <c r="L237" s="81" t="str">
        <f>IFERROR(D212*K237,"")</f>
        <v/>
      </c>
    </row>
    <row r="238" spans="2:12" ht="11.1" customHeight="1">
      <c r="D238" s="1" t="s">
        <v>9</v>
      </c>
      <c r="F238" s="56">
        <v>30</v>
      </c>
      <c r="G238" s="82" t="str">
        <f>IF(OR(D209=0,D213="　",1*MID(D216,1,2)&lt;=2,1*MID(D216,1,2)=5,MID(D238,6,2)&lt;&gt;"あり"),"","確認ホース")</f>
        <v/>
      </c>
      <c r="H238" s="83" t="str">
        <f>IF(OR(D209=0,D213="　",1*MID(D216,1,2)&lt;=2,1*MID(D216,1,2)=5,MID(D238,6,2)&lt;&gt;"あり"),"","φ17、ポリエチレン")</f>
        <v/>
      </c>
      <c r="I238" s="83"/>
      <c r="J238" s="84" t="str">
        <f>IF(OR(D209=0,D213="　",1*MID(D216,1,2)&lt;=2,1*MID(D216,1,2)=5,MID(D238,6,2)&lt;&gt;"あり"),"","m")</f>
        <v/>
      </c>
      <c r="K238" s="85" t="str">
        <f>IF(OR(D208=0,D213="　",1*MID(D216,1,2)&lt;=2,1*MID(D216,1,2)=5,MID(D238,6,2)&lt;&gt;"あり"),"",0.5+MROUND(D223+D225,0.1))</f>
        <v/>
      </c>
      <c r="L238" s="86" t="str">
        <f>IFERROR(D212*K238,"")</f>
        <v/>
      </c>
    </row>
    <row r="240" spans="2:12" ht="11.1" customHeight="1">
      <c r="B240" s="19" t="s">
        <v>1</v>
      </c>
      <c r="D240" s="4"/>
      <c r="G240" s="73" t="s">
        <v>39</v>
      </c>
    </row>
    <row r="241" spans="2:12" ht="11.1" customHeight="1">
      <c r="G241" s="99">
        <f>D242</f>
        <v>8</v>
      </c>
      <c r="H241" s="55" t="str">
        <f>IF(D243=0,"",D244&amp;" "&amp;D247&amp; "："&amp;TEXT(D260,"L=##0.00")&amp;"m"&amp;TEXT(D258,",L1=##0.00")&amp;"m"&amp;TEXT(D257,",Lf=##0.00")&amp;"m"&amp;TEXT(D253,",LA=##0.00")&amp;"m"&amp;TEXT(D259,",L2=##0.00")&amp;"m")</f>
        <v>(8)2列目：4段/4段 EHD5-2H：L=8.20m,L1=1.00m,Lf=4.00m,LA=3.00m,L2=0.20m</v>
      </c>
      <c r="I241" s="55"/>
      <c r="J241" s="18"/>
    </row>
    <row r="242" spans="2:12" ht="11.1" customHeight="1">
      <c r="B242" s="13" t="s">
        <v>2</v>
      </c>
      <c r="C242" s="3" t="s">
        <v>3</v>
      </c>
      <c r="D242" s="98">
        <f>1+(ROW()-ROW($D$4))/34</f>
        <v>8</v>
      </c>
      <c r="F242" s="20"/>
      <c r="G242" s="21" t="s">
        <v>21</v>
      </c>
      <c r="H242" s="22" t="s">
        <v>22</v>
      </c>
      <c r="I242" s="22" t="s">
        <v>38</v>
      </c>
      <c r="J242" s="23" t="s">
        <v>23</v>
      </c>
      <c r="K242" s="22" t="s">
        <v>24</v>
      </c>
      <c r="L242" s="3" t="s">
        <v>4</v>
      </c>
    </row>
    <row r="243" spans="2:12" ht="11.1" customHeight="1">
      <c r="B243" s="28" t="s">
        <v>25</v>
      </c>
      <c r="C243" s="5" t="s">
        <v>26</v>
      </c>
      <c r="D243" s="6">
        <v>1</v>
      </c>
      <c r="F243" s="24">
        <v>1</v>
      </c>
      <c r="G243" s="25" t="str">
        <f>IF(OR(D243=0,D247="　"),"","硅砂付着ECFﾃﾝﾄﾞﾝ")</f>
        <v>硅砂付着ECFﾃﾝﾄﾞﾝ</v>
      </c>
      <c r="H243" s="26" t="str">
        <f>IF(OR(D243=0,D247="　"),"",D247&amp;" ("&amp;MID(D247,6,FIND("H",D247,6)-6)&amp;IF(MID(D247,4,1)="5","φ12.7","φ15.2")&amp;")")</f>
        <v>EHD5-2H (2φ12.7)</v>
      </c>
      <c r="I243" s="57" t="str">
        <f>IF(OR(D243=0,D247="　"),"","W=テンドン長×PC鋼より線本数×"&amp;IF(MID(D247,4,1)="5","0.774","1.101")&amp;"kg/m")</f>
        <v>W=テンドン長×PC鋼より線本数×0.774kg/m</v>
      </c>
      <c r="J243" s="14" t="str">
        <f>IF(OR(D243=0,D247="　"),"","kg")</f>
        <v>kg</v>
      </c>
      <c r="K243" s="27">
        <f>IF(OR(D243=0,D247="　"),"",MROUND(D260*MID(D247,6,FIND("H",D247,6)-6)*IF(MID(D247,4,1)="5","0.774","1.101"),0.01))</f>
        <v>12.69</v>
      </c>
      <c r="L243" s="15">
        <f>IFERROR(D246*K243,"")</f>
        <v>12.69</v>
      </c>
    </row>
    <row r="244" spans="2:12" ht="11.1" customHeight="1">
      <c r="B244" s="31" t="s">
        <v>45</v>
      </c>
      <c r="C244" s="71" t="s">
        <v>6</v>
      </c>
      <c r="D244" s="74" t="s">
        <v>114</v>
      </c>
      <c r="F244" s="24">
        <v>2</v>
      </c>
      <c r="G244" s="17" t="str">
        <f>IF(OR(D243=0,D247="　"),"","アンカー工場加工")</f>
        <v>アンカー工場加工</v>
      </c>
      <c r="H244" s="29"/>
      <c r="I244" s="46" t="str">
        <f>IF(OR(D243=0,D247="　"),"","L=テンドン長")</f>
        <v>L=テンドン長</v>
      </c>
      <c r="J244" s="16" t="str">
        <f>IF(OR(D243=0,D247="　"),"","m")</f>
        <v>m</v>
      </c>
      <c r="K244" s="30">
        <f>IF(OR(D243=0,D247="　"),"",MROUND(D260,0.1))</f>
        <v>8.2000000000000011</v>
      </c>
      <c r="L244" s="67">
        <f>IFERROR(D246*K244,"")</f>
        <v>8.2000000000000011</v>
      </c>
    </row>
    <row r="245" spans="2:12" ht="11.1" customHeight="1">
      <c r="B245" s="34" t="s">
        <v>7</v>
      </c>
      <c r="C245" s="49" t="s">
        <v>6</v>
      </c>
      <c r="D245" s="2" t="s">
        <v>34</v>
      </c>
      <c r="F245" s="24">
        <v>3</v>
      </c>
      <c r="G245" s="17" t="str">
        <f>IF(OR(D243=0,D247="　",1*MID(D250,1,2)=1,1*MID(D250,1,2)&gt;=5),"","頭部キャップ")</f>
        <v>頭部キャップ</v>
      </c>
      <c r="H245" s="29" t="str" cm="1">
        <f t="array" ref="H245">IF(OR(D243=0,D247="　",1*MID(D250,1,2)=1,1*MID(D250,1,2)&gt;=5),"",IF(MID(D247,4,1)="5",_xlfn.SWITCH(1*MID(D247,6,FIND("H",D247,6)-6),1,"S",2,"S",3,"S",4,"S",5,"M",6,"M",7,"M",8,"L",9,"L",10,"L",11,"L",12,"L"),_xlfn.SWITCH(1*MID(D247,6,FIND("H",D247,6)-6),1,"S",2,"S",3,"M",4,"M",5,"L",6,"L",7,"L",8,"LL",9,"LL",10,"LL",11,"LL",12,"LL",13,"LL",14,"LL",15,"3L",16,"3L",17,"3L",18,"3L",19,"3L"))&amp;"型"&amp;MID(D248,IF(MID(D248,1,1)="G",4,1),10)&amp;IF(OR(MID(D248,1,2)="透明",MID(D248,1,2)="5窓"),"、PC樹脂","")&amp;IF(MID(D248,4,2)="鋼製","、SS400相当、HDZT77めっき","、ｱﾙﾐAC4C相当"))&amp;_xlfn.IFS(OR(D243=0,D247="　",MID(D245,1,3)="防食Ⅱ"),"",MID(D245,5,2)="塩害","、ﾀｹｺｰﾄ処理",MID(D245,5,2)="酸性","、重防食処理")</f>
        <v>S型透明ｷｬｯﾌﾟ、PC樹脂、ｱﾙﾐAC4C相当</v>
      </c>
      <c r="I245" s="52" t="str">
        <f>IF(OR(D243=0,D247="　",1*MID(D250,1,2)=1,1*MID(D250,1,2)&gt;=5),"","n=1")</f>
        <v>n=1</v>
      </c>
      <c r="J245" s="16" t="str">
        <f>IF(OR(D243=0,D247="　",1*MID(D250,1,2)=1,1*MID(D250,1,2)&gt;=5),"","個")</f>
        <v>個</v>
      </c>
      <c r="K245" s="32">
        <f>IF(OR(D243=0,D247="　",1*MID(D250,1,2)=1,1*MID(D250,1,2)&gt;=5),"",1)</f>
        <v>1</v>
      </c>
      <c r="L245" s="68">
        <f>IFERROR(D246*K245,"")</f>
        <v>1</v>
      </c>
    </row>
    <row r="246" spans="2:12" ht="11.1" customHeight="1">
      <c r="B246" s="31" t="s">
        <v>27</v>
      </c>
      <c r="C246" s="10" t="s">
        <v>5</v>
      </c>
      <c r="D246" s="75">
        <v>1</v>
      </c>
      <c r="F246" s="24">
        <v>4</v>
      </c>
      <c r="G246" s="17" t="str">
        <f>IF(OR(D243=0,D247="　",1*MID(D250,1,2)=1,1*MID(D250,1,2)&gt;=5),"","アンカーヘッド")</f>
        <v>アンカーヘッド</v>
      </c>
      <c r="H246" s="29" t="str" cm="1">
        <f t="array" ref="H246">IF(OR(D243=0,D247="　",1*MID(D250,1,2)=1,1*MID(D250,1,2)&gt;=5),"",IF(MID(D247,4,1)="5","G5"&amp;_xlfn.SWITCH(1*MID(D247,6,FIND("H",D247,6)-6),1,"01",2,"02",3,"03",4,"04",5,"07",6,"07",7,"07",8,"09",9,"09",10,"12",11,"12",12,"12"),"G6"&amp;_xlfn.SWITCH(1*MID(D247,6,FIND("H",D247,6)-6),1,"01",2,"02",3,"03",4,"04",5,"07",6,"07",7,"07",8,"09",9,"09",10,"12",11,"12",12,"12",13,"14",14,"14",15,"19",16,"19",17,"19",18,"19",19,"19"))&amp;"、S45C相当")&amp;IF(OR(D243=0,D247="　",MID(D248,1,3)="ｱﾙﾐ",1*MID(D250,1,2)=1,1*MID(D250,1,2)&gt;=5),"","、無電解Niめっき")</f>
        <v>G502、S45C相当、無電解Niめっき</v>
      </c>
      <c r="I246" s="52" t="str">
        <f>IF(OR(D243=0,D247="　",1*MID(D250,1,2)=1,1*MID(D250,1,2)&gt;=5),"","n=1")</f>
        <v>n=1</v>
      </c>
      <c r="J246" s="16" t="str">
        <f>IF(OR(D243=0,D247="　",1*MID(D250,1,2)=1,1*MID(D250,1,2)&gt;=5),"","個")</f>
        <v>個</v>
      </c>
      <c r="K246" s="32">
        <f>IF(OR(D243=0,D247="　",1*MID(D250,1,2)=1,1*MID(D250,1,2)&gt;=5),"",1)</f>
        <v>1</v>
      </c>
      <c r="L246" s="68">
        <f>IFERROR(D246*K246,"")</f>
        <v>1</v>
      </c>
    </row>
    <row r="247" spans="2:12" ht="11.1" customHeight="1">
      <c r="B247" s="33" t="s">
        <v>28</v>
      </c>
      <c r="C247" s="71" t="s">
        <v>6</v>
      </c>
      <c r="D247" s="7" t="s">
        <v>115</v>
      </c>
      <c r="F247" s="24">
        <v>5</v>
      </c>
      <c r="G247" s="17" t="str">
        <f>IF(OR(D243=0,D247="　",1*MID(D250,1,2)=1,1*MID(D250,1,2)&gt;=5),"","ナット")</f>
        <v>ナット</v>
      </c>
      <c r="H247" s="29" t="str" cm="1">
        <f t="array" ref="H247">IF(OR(D243=0,D247="　",1*MID(D250,1,2)=1,1*MID(D250,1,2)&gt;=5),"",IF(MID(D247,4,1)="5","G5"&amp;_xlfn.SWITCH(1*MID(D247,6,FIND("H",D247,6)-6),1,"01",2,"02",3,"03",4,"04",5,"07",6,"07",7,"07",8,"09",9,"09",10,"12",11,"12",12,"12"),"G6"&amp;_xlfn.SWITCH(1*MID(D247,6,FIND("H",D247,6)-6),1,"01",2,"02",3,"03",4,"04",5,"07",6,"07",7,"07",8,"09",9,"09",10,"12",11,"12",12,"12",13,"14",14,"14",15,"19",16,"19",17,"19",18,"19",19,"19"))&amp;"、S45C相当")&amp;IF(OR(D243=0,D247="　",MID(D248,1,3)="ｱﾙﾐ",1*MID(D250,1,2)=1,1*MID(D250,1,2)&gt;=5),"","、無電解Niめっき")</f>
        <v>G502、S45C相当、無電解Niめっき</v>
      </c>
      <c r="I247" s="52" t="str">
        <f>IF(OR(D243=0,D247="　",1*MID(D250,1,2)=1,1*MID(D250,1,2)&gt;=5),"","n=1")</f>
        <v>n=1</v>
      </c>
      <c r="J247" s="16" t="str">
        <f>IF(OR(D243=0,D247="　",1*MID(D250,1,2)=1,1*MID(D250,1,2)&gt;=5),"","個")</f>
        <v>個</v>
      </c>
      <c r="K247" s="32">
        <f>IF(OR(D243=0,D247="　",1*MID(D250,1,2)=1,1*MID(D250,1,2)&gt;=5),"",1)</f>
        <v>1</v>
      </c>
      <c r="L247" s="68">
        <f>IFERROR(D246*K247,"")</f>
        <v>1</v>
      </c>
    </row>
    <row r="248" spans="2:12" ht="11.1" customHeight="1">
      <c r="B248" s="35" t="s">
        <v>29</v>
      </c>
      <c r="C248" s="49" t="s">
        <v>6</v>
      </c>
      <c r="D248" s="2" t="s">
        <v>35</v>
      </c>
      <c r="F248" s="24">
        <v>6</v>
      </c>
      <c r="G248" s="17" t="str">
        <f>IF(OR(D243=0,D247="　",1*MID(D250,1,2)=1,1*MID(D250,1,2)&gt;=5),"","くさび")</f>
        <v>くさび</v>
      </c>
      <c r="H248" s="29" t="str">
        <f>IF(OR(D243=0,D247="　",1*MID(D250,1,2)=1,1*MID(D250,1,2)&gt;=5),"",IF(1*MID(D247,4,1)=5,"ECF12.7","ECF15.2")&amp;"、SCM415相当")&amp;IF(OR(D243=0,D247="　",MID(D248,1,3)="ｱﾙﾐ",1*MID(D250,1,2)=1,1*MID(D250,1,2)&gt;=5),"","、無電解Niめっき")</f>
        <v>ECF12.7、SCM415相当、無電解Niめっき</v>
      </c>
      <c r="I248" s="52" t="str">
        <f>IF(OR(D243=0,D247="　",1*MID(D250,1,2)=1,1*MID(D250,1,2)&gt;=5),"","n=1")</f>
        <v>n=1</v>
      </c>
      <c r="J248" s="16" t="str">
        <f>IF(OR(D243=0,D247="　",1*MID(D250,1,2)=1,1*MID(D250,1,2)&gt;=5),"","式")</f>
        <v>式</v>
      </c>
      <c r="K248" s="32">
        <f>IF(OR(D243=0,D247="　",1*MID(D250,1,2)=1,1*MID(D250,1,2)&gt;=5),"",1)</f>
        <v>1</v>
      </c>
      <c r="L248" s="68">
        <f>IFERROR(D246*K248,"")</f>
        <v>1</v>
      </c>
    </row>
    <row r="249" spans="2:12" ht="11.1" customHeight="1">
      <c r="B249" s="35" t="s">
        <v>8</v>
      </c>
      <c r="C249" s="49" t="s">
        <v>6</v>
      </c>
      <c r="D249" s="2" t="s">
        <v>36</v>
      </c>
      <c r="F249" s="24">
        <v>7</v>
      </c>
      <c r="G249" s="17" t="str">
        <f>IF(OR(D243=0,D247="　",1*MID(D250,1,2)=1,1*MID(D250,1,2)&gt;=5),"","押え板")</f>
        <v>押え板</v>
      </c>
      <c r="H249" s="29" t="str" cm="1">
        <f t="array" ref="H249">IF(OR(D243=0,D247="　",1*MID(D250,1,2)=1,1*MID(D250,1,2)&gt;=5),"",IF(MID(D247,4,1)="5","G5"&amp;_xlfn.SWITCH(1*MID(D247,6,FIND("H",D247,6)-6),1,"01",2,"04",3,"03",4,"04",5,"07",6,"07",7,"07",8,"12",9,"12",10,"12",11,"12",12,"12"),"G6"&amp;_xlfn.SWITCH(1*MID(D247,6,FIND("H",D247,6)-6),1,"01",2,"02",3,"03",4,"04",5,"07",6,"07",7,"07",8,"12",9,"12",10,"12",11,"12",12,"12",13,"14",14,"14",15,"19",16,"19",17,"19",18,"19",19,"19"))&amp;"、SS400相当")&amp;IF(OR(D243=0,D247="　",1*MID(D250,1,2)=1,1*MID(D250,1,2)&gt;=5),"","、"&amp;_xlfn.IFS(MID(D245,1,3)="防食Ⅱ","HDZT77めっき",MID(D245,5,2)="塩害","ｱﾙﾐﾅｲｽﾞ処理",MID(D245,5,2)="酸性","重防食処理"))</f>
        <v>G504、SS400相当、HDZT77めっき</v>
      </c>
      <c r="I249" s="52" t="str">
        <f>IF(OR(D243=0,D247="　",1*MID(D250,1,2)=1,1*MID(D250,1,2)&gt;=5),"","n=1")</f>
        <v>n=1</v>
      </c>
      <c r="J249" s="16" t="str">
        <f>IF(OR(D243=0,D247="　",1*MID(D250,1,2)=1,1*MID(D250,1,2)&gt;=5),"","枚")</f>
        <v>枚</v>
      </c>
      <c r="K249" s="32">
        <f>IF(OR(D243=0,D247="　",1*MID(D250,1,2)=1,1*MID(D250,1,2)&gt;=5),"",1)</f>
        <v>1</v>
      </c>
      <c r="L249" s="68">
        <f>IFERROR(D246*K249,"")</f>
        <v>1</v>
      </c>
    </row>
    <row r="250" spans="2:12" ht="11.1" customHeight="1">
      <c r="B250" s="36" t="s">
        <v>87</v>
      </c>
      <c r="C250" s="72" t="s">
        <v>6</v>
      </c>
      <c r="D250" s="8" t="s">
        <v>42</v>
      </c>
      <c r="F250" s="24">
        <v>8</v>
      </c>
      <c r="G250" s="17" t="str">
        <f>IF(OR(D243=0,D247="　"),"",IF(OR(1*MID(D250,1,2)=1,1*MID(D250,1,2)&gt;=5,MID(D249,1,3)&lt;&gt;"のり面"),"","管付")&amp;"支圧板")</f>
        <v>管付支圧板</v>
      </c>
      <c r="H250" s="29" t="str" cm="1">
        <f t="array" ref="H250">IF(OR(D243=0,D247="　"),"","PL"&amp;IF(OR(1*MID(D250,1,2)=1,1*MID(D250,1,2)&gt;=5,MID(D249,1,3)&lt;&gt;"のり面"),"","P")&amp;IF(MID(D247,4,1)="5","5-"&amp;_xlfn.SWITCH(1*MID(D247,6,FIND("H",D247,6)-6),1,"1",2,"2",3,"3",4,"4",5,"5",6,"6",7,"7",8,"9",9,"9",10,"10",11,"11",12,"12"),"6-"&amp;_xlfn.SWITCH(1*MID(D247,6,FIND("H",D247,6)-6),1,"1",2,"2",3,"3",4,"4",5,"6",6,"6",7,"7",8,"8",9,"9",10,"10",11,"11",12,"12",13,"14",14,"14",15,"16",16,"16",17,"17",18,"18",19,"19"))&amp;"、SS400相当")&amp;IF(OR(D243=0,D247="　"),"","、"&amp;_xlfn.IFS(MID(D245,1,3)="防食Ⅱ","HDZT77めっき",MID(D245,5,2)="塩害","ｱﾙﾐﾅｲｽﾞ処理",MID(D245,5,2)="酸性","重防食処理"))</f>
        <v>PLP5-2、SS400相当、HDZT77めっき</v>
      </c>
      <c r="I250" s="52" t="str">
        <f>IF(OR(D243=0,D247="　"),"","n=1")</f>
        <v>n=1</v>
      </c>
      <c r="J250" s="16" t="str">
        <f>IF(OR(D243=0,D247="　"),"","枚")</f>
        <v>枚</v>
      </c>
      <c r="K250" s="32">
        <f>IF(OR(D243=0,D247="　"),"",1)</f>
        <v>1</v>
      </c>
      <c r="L250" s="68">
        <f>IFERROR(D246*K250,"")</f>
        <v>1</v>
      </c>
    </row>
    <row r="251" spans="2:12" ht="11.1" customHeight="1">
      <c r="B251" s="37" t="str" cm="1">
        <f t="array" ref="B251">"頭部自由長"&amp;_xlfn.IFS(MID(D249,1,2)="なし","",MID(D249,1,3)="受圧体","(受圧体)",MID(D249,1,3)="のり面","(角度台座＋受圧体)",MID(D249,1,3)="構造物","(壁面台座)",MID(D249,1,3)="土留め","(台座+腹起し)",MID(D249,1,3)="個別台","(個別台座+腹起し)")&amp;"　Lfh"</f>
        <v>頭部自由長(角度台座＋受圧体)　Lfh</v>
      </c>
      <c r="C251" s="9" t="s">
        <v>10</v>
      </c>
      <c r="D251" s="75">
        <v>0.6</v>
      </c>
      <c r="F251" s="24">
        <v>9</v>
      </c>
      <c r="G251" s="17" t="str">
        <f>IF(OR(D243=0,D247="　",1*MID(D250,1,2)=1,1*MID(D250,1,2)&gt;=5),"","止水ゴム")</f>
        <v>止水ゴム</v>
      </c>
      <c r="H251" s="29" t="str">
        <f>IF(OR(D243=0,D247="　",1*MID(D250,1,2)=1,1*MID(D250,1,2)&gt;=5),"","G"&amp;MID(D247,4,4)&amp;"、NBR45相当")</f>
        <v>G5-2H、NBR45相当</v>
      </c>
      <c r="I251" s="52" t="str">
        <f>IF(OR(D243=0,D247="　",1*MID(D250,1,2)=1,1*MID(D250,1,2)&gt;=5),"","n=1")</f>
        <v>n=1</v>
      </c>
      <c r="J251" s="16" t="str">
        <f>IF(OR(D243=0,D247="　",1*MID(D250,1,2)=1,1*MID(D250,1,2)&gt;=5),"","個")</f>
        <v>個</v>
      </c>
      <c r="K251" s="32">
        <f>IF(OR(D243=0,D247="　",1*MID(D250,1,2)=1,1*MID(D250,1,2)&gt;=5),"",1)</f>
        <v>1</v>
      </c>
      <c r="L251" s="68">
        <f>IFERROR(D246*K251,"")</f>
        <v>1</v>
      </c>
    </row>
    <row r="252" spans="2:12" ht="11.1" customHeight="1">
      <c r="B252" s="31" t="s">
        <v>11</v>
      </c>
      <c r="C252" s="10" t="s">
        <v>10</v>
      </c>
      <c r="D252" s="75">
        <v>3.4</v>
      </c>
      <c r="F252" s="24">
        <v>10</v>
      </c>
      <c r="G252" s="17" t="str" cm="1">
        <f t="array" ref="G252">IF(OR(D243=0,D247="　",1*MID(D250,1,2)=1,1*MID(D250,1,2)&gt;=5),"",_xlfn.IFS(MID(D248,1,3)="ｱﾙﾐ","頭部防錆油",MID(D248,1,3)&lt;&gt;"ｱﾙﾐ","余長キャップ"))</f>
        <v>余長キャップ</v>
      </c>
      <c r="H252" s="29" t="str" cm="1">
        <f t="array" ref="H252">_xlfn.IFS(OR(D243=0,D247="　",1*MID(D250,1,2)=1,1*MID(D250,1,2)&gt;=5),"",MID(D248,1,3)="ｱﾙﾐ","PCコートC",MID(D248,1,3)&lt;&gt;"ｱﾙﾐ","TC"&amp;MID(D247,4,1)&amp;"、高密度ポリエチレン")</f>
        <v>TC5、高密度ポリエチレン</v>
      </c>
      <c r="I252" s="52" t="str" cm="1">
        <f t="array" ref="I252">_xlfn.IFS(OR(D243=0,D247="　",1*MID(D250,1,2)=1,1*MID(D250,1,2)&gt;=5),"",MID(D248,1,3)="ｱﾙﾐ","W="&amp;IF(MID(D247,4,1)="5",_xlfn.SWITCH(1*MID(LEFT(D247, LEN(D247)-1),6,2),1,1.9,2,1.3,3,1.3,4,1.3,5,1.6,6,1.6,7,1.6,8,3.1,9,3.1,10,3.1,11,3.1,12,3.1),"G6"&amp;_xlfn.SWITCH(1*MID(LEFT(D247, LEN(D247)-1),6,2),1,1.8,2,1.3,3,1.8,4,1.8,5,3.3,6,3.3,7,3.3,8,9.9,9,9.9,10,9.9,11,9.9,12,9.9,13,9.9,14,9.9)),MID(D248,1,3)&lt;&gt;"ｱﾙﾐ","n=1")</f>
        <v>n=1</v>
      </c>
      <c r="J252" s="16" t="str" cm="1">
        <f t="array" ref="J252">_xlfn.IFS(OR(D243=0,D247="　",1*MID(D250,1,2)=1,1*MID(D250,1,2)&gt;=5),"",MID(D248,1,3)="ｱﾙﾐ","kg",MID(D248,1,3)&lt;&gt;"ｱﾙﾐ","式")</f>
        <v>式</v>
      </c>
      <c r="K252" s="80" cm="1">
        <f t="array" ref="K252">_xlfn.IFS(OR(D243=0,D247="　",1*MID(D250,1,2)=1,1*MID(D250,1,2)&gt;=5),"",MID(D248,1,3)="ｱﾙﾐ",_xlfn.SWITCH(MID(D247,4,1),"5",_xlfn.SWITCH(1*MID(D247,6,FIND("H",D247,6)-6),1,1.9,2,1.3,3,1.3,4,1.3,5,1.6,6,1.6,7,1.6,8,3.1,9,3.1,10,3.1,11,3.1,12,3.1),"6",_xlfn.SWITCH(1*MID(D247,6,FIND("H",D247,6)-6),1,1.8,2,1.3,3,1.8,4,1.8,5,3.3,6,3.3,7,3.3,8,9.9,9,9.9,10,9.9,11,9.9,12,9.9,13,9.9,14,9.9)),MID(D248,1,3)&lt;&gt;"ｱﾙﾐ",1)</f>
        <v>1</v>
      </c>
      <c r="L252" s="68">
        <f>IFERROR(D246*K252,"")</f>
        <v>1</v>
      </c>
    </row>
    <row r="253" spans="2:12" ht="11.1" customHeight="1">
      <c r="B253" s="39" t="s">
        <v>18</v>
      </c>
      <c r="C253" s="40" t="s">
        <v>10</v>
      </c>
      <c r="D253" s="75">
        <v>3</v>
      </c>
      <c r="F253" s="24">
        <v>11</v>
      </c>
      <c r="G253" s="17" t="str">
        <f>IF(OR(D243=0,D247="　",1*MID(D250,1,2)=1,1*MID(D250,1,2)&gt;=5),"","配列スペーサ")</f>
        <v>配列スペーサ</v>
      </c>
      <c r="H253" s="29" t="str">
        <f>IF(OR(D243=0,D247="　",1*MID(D250,1,2)=1,1*MID(D250,1,2)&gt;=5),"",IF(MID(D247,4,1)="5","PS5-"&amp;_xlfn.SWITCH(1*MID(D247,6,FIND("H",D247,6)-6),1,"7",2,"2",3,"3",4,"4",5,"7",6,"7",7,"7",8,"12",9,"12",10,"12",11,"12",12,"12"),"PS6-"&amp;_xlfn.SWITCH(1*MID(D247,6,FIND("H",D247,6)-6),1,"7",2,"2",3,"3",4,"4",5,"7",6,"7",7,"7",8,"12",9,"12",10,"12",11,"12",12,"12",13,"14",14,"14",15,"19",16,"19",17,"19",18,"19",19,"19"))&amp;"、ポリエチレン")</f>
        <v>PS5-2、ポリエチレン</v>
      </c>
      <c r="I253" s="52" t="str">
        <f>IF(OR(D243=0,D247="　",1*MID(D250,1,2)=1,1*MID(D250,1,2)&gt;=5),"","n=2")</f>
        <v>n=2</v>
      </c>
      <c r="J253" s="16" t="str">
        <f>IF(OR(D243=0,D247="　",1*MID(D250,1,2)=1,1*MID(D250,1,2)&gt;=5),"","個")</f>
        <v>個</v>
      </c>
      <c r="K253" s="32">
        <f>IF(OR(D243=0,D247="　",1*MID(D250,1,2)=1,1*MID(D250,1,2)&gt;=5),"",2)</f>
        <v>2</v>
      </c>
      <c r="L253" s="68">
        <f>IFERROR(D246*K253,"")</f>
        <v>2</v>
      </c>
    </row>
    <row r="254" spans="2:12" ht="11.1" customHeight="1">
      <c r="B254" s="36" t="s">
        <v>17</v>
      </c>
      <c r="C254" s="11" t="s">
        <v>16</v>
      </c>
      <c r="D254" s="54">
        <v>90</v>
      </c>
      <c r="F254" s="24">
        <v>12</v>
      </c>
      <c r="G254" s="17" t="str">
        <f>IF(OR(D243=0,D247="　"),"","スペーサ")</f>
        <v>スペーサ</v>
      </c>
      <c r="H254" s="29" t="str" cm="1">
        <f t="array" ref="H254">IF(OR(D243=0,D247="　"),"",IF(MID(D247,4,1)="5","S5-"&amp;_xlfn.IFS(1*MID(D247,6,FIND("H",D247,6)-6)&lt;6,"5",1*MID(D247,6,FIND("H",D247,6)-6)&lt;9,"8",1*MID(D247,6,FIND("H",D247,6)-6)&gt;8,"12"),"S6-"&amp;_xlfn.IFS(1*MID(D247,6,FIND("H",D247,6)-6)&lt;4,"3",1*MID(D247,6,FIND("H",D247,6)-6)&lt;7,"6",1*MID(D247,6,FIND("H",D247,6)-6)&lt;10,"9",1*MID(D247,6,FIND("H",D247,6)-6)&lt;13,"12",1*MID(D247,6,FIND("H",D247,6)-6)&lt;15,"14",1*MID(D247,6,FIND("H",D247,6)-6)&lt;20,"19"))&amp;"、ポリプロピレン")</f>
        <v>S5-5、ポリプロピレン</v>
      </c>
      <c r="I254" s="58" t="str">
        <f>IF(OR(D243=0,D247="　"),"","n=mround(アンカー体長－0.4)÷@1.0m, 1.0)")</f>
        <v>n=mround(アンカー体長－0.4)÷@1.0m, 1.0)</v>
      </c>
      <c r="J254" s="16" t="str">
        <f>IF(OR(D243=0,D247="　"),"","個")</f>
        <v>個</v>
      </c>
      <c r="K254" s="38">
        <f>IF(OR(D243=0,D247="　"),"",MROUND((D253-0.4)/1,1))</f>
        <v>3</v>
      </c>
      <c r="L254" s="67">
        <f>IFERROR(D246*K254,"")</f>
        <v>3</v>
      </c>
    </row>
    <row r="255" spans="2:12" ht="11.1" customHeight="1">
      <c r="B255" s="41" t="s">
        <v>37</v>
      </c>
      <c r="C255" s="5" t="s">
        <v>16</v>
      </c>
      <c r="D255" s="66" cm="1">
        <f t="array" ref="D255">IF(OR(D243=0,D247="　"),"",_xlfn.SWITCH(1*MID(D250,1,2),0,_xlfn.SWITCH(1*MID(D247,4,1),5,_xlfn.SWITCH(1*MID(LEFT(D247, LEN(D247)-1),6,2),1,90,2,90,3,90,4,90,5,90,6,115,7,115,8,115,9,135,10,135,11,135,12,135),6,_xlfn.SWITCH(1*MID(LEFT(D247, LEN(D247)-1),6,2),1,90,2,90,3,90,4,115,5,115,6,115,7,135,8,135,9,135,10,146,11,146,12,146,13,165,14,165)),1,_xlfn.SWITCH(1*MID(D247,4,1),5,_xlfn.SWITCH(1*MID(LEFT(D247, LEN(D247)-1),6,2),1,90,2,90,3,90,4,90,5,115,6,115,7,135,8,135,9,135,10,135,11,165,12,165),6,_xlfn.SWITCH(1*MID(LEFT(D247, LEN(D247)-1),6,2),1,90,2,90,3,115,4,115,5,135,6,135,7,135,8,135,9,135,10,165,11,165,12,165,13,165,14,165)),2,_xlfn.SWITCH(1*MID(D247,4,1),5,_xlfn.SWITCH(1*MID(LEFT(D247, LEN(D247)-1),6,2),1,90,2,90,3,115,4,115,5,115,6,115,7,135,8,135,9,146,10,146,11,146,12,146),6,_xlfn.SWITCH(1*MID(LEFT(D247, LEN(D247)-1),6,2),1,90,2,90,3,115,4,115,5,135,6,135,7,146,8,146,9,146,10,165,11,165,12,165,13,216,14,216)),3,_xlfn.SWITCH(1*MID(D247,4,1),5,_xlfn.SWITCH(1*MID(LEFT(D247, LEN(D247)-1),6,2),1,115,2,115,3,115,4,115,5,115,6,135,7,135,8,135,9,146,10,146,11,146,12,146),6,_xlfn.SWITCH(1*MID(LEFT(D247, LEN(D247)-1),6,2),1,115,2,115,3,115,4,135,5,135,6,135,7,146,8,146,9,146,10,165,11,165,12,165,13,216,14,216)),4,_xlfn.SWITCH(1*MID(D247,4,1),5,_xlfn.SWITCH(1*MID(LEFT(D247, LEN(D247)-1),6,2),1,115,2,115,3,115,4,115,5,115,6,135,7,135,8,135,9,146,10,146,11,146,12,146),6,_xlfn.SWITCH(1*MID(LEFT(D247, LEN(D247)-1),6,2),1,115,2,115,3,115,4,135,5,135,6,135,7,146,8,146,9,146,10,165,11,165,12,165,13,216,14,216)),5,_xlfn.SWITCH(1*MID(D247,4,1),5,_xlfn.SWITCH(1*MID(LEFT(D247, LEN(D247)-1),6,2),1,90,2,90,3,115,4,115,5,115,6,115,7,135,8,135,9,165,10,165,11,165,12,165),6,_xlfn.SWITCH(1*MID(LEFT(D247, LEN(D247)-1),6,2),1,90,2,90,3,115,4,115,5,135,6,135,7,165,8,165,9,165,10,165,11,165,12,165,13,216,14,216)),6,_xlfn.SWITCH(1*MID(D247,4,1),5,_xlfn.SWITCH(1*MID(LEFT(D247, LEN(D247)-1),6,2),1,115,2,115,3,115,4,115,5,115,6,135,7,135,8,135,9,165,10,165,11,165,12,165),6,_xlfn.SWITCH(1*MID(LEFT(D247, LEN(D247)-1),6,2),1,115,2,115,3,115,4,135,5,135,6,135,7,165,8,165,9,165,10,165,11,165,12,165,13,216,14,216)),7,_xlfn.SWITCH(1*MID(D247,4,1),5,_xlfn.SWITCH(1*MID(LEFT(D247, LEN(D247)-1),6,2),1,115,2,115,3,115,4,115,5,115,6,135,7,135,8,135,9,165,10,165,11,165,12,165),6,_xlfn.SWITCH(1*MID(LEFT(D247, LEN(D247)-1),6,2),1,115,2,115,3,115,4,135,5,135,6,135,7,165,8,165,9,165,10,165,11,165,12,165,13,216,14,216))))</f>
        <v>90</v>
      </c>
      <c r="F255" s="24">
        <v>13</v>
      </c>
      <c r="G255" s="17" t="str">
        <f>IF(OR(D243=0,D247="　"),"","ﾊﾟｲﾛｯﾄｷｬｯﾌﾟ")</f>
        <v>ﾊﾟｲﾛｯﾄｷｬｯﾌﾟ</v>
      </c>
      <c r="H255" s="29" t="str" cm="1">
        <f t="array" ref="H255">IF(OR(D243=0,D247="　"),"",IF(MID(D247,4,1)="5","PC5-"&amp;_xlfn.IFS(1*MID(D247,6,FIND("H",D247,6)-6)&lt;5,"4",1*MID(D247,6,FIND("H",D247,6)-6)&lt;8,"7",1*MID(D247,6,FIND("H",D247,6)-6)&lt;10,"9",1*MID(D247,6,FIND("H",D247,6)-6)&gt;9,"12"),"PC6-"&amp;_xlfn.IFS(1*MID(D247,6,FIND("H",D247,6)-6)&lt;4,"3",1*MID(D247,6,FIND("H",D247,6)-6)&lt;8,"7",1*MID(D247,6,FIND("H",D247,6)-6)&lt;13,"12",1*MID(D247,6,FIND("H",D247,6)-6)&lt;15,"14",1*MID(D247,6,FIND("H",D247,6)-6)&lt;20,"19"))&amp;"、ポリプロピレン")</f>
        <v>PC5-4、ポリプロピレン</v>
      </c>
      <c r="I255" s="52" t="str">
        <f>IF(OR(D243=0,D247="　"),"","n=1")</f>
        <v>n=1</v>
      </c>
      <c r="J255" s="16" t="str">
        <f>IF(OR(D243=0,D247="　"),"","個")</f>
        <v>個</v>
      </c>
      <c r="K255" s="32">
        <f>IF(OR(D243=0,D247="　"),"",1)</f>
        <v>1</v>
      </c>
      <c r="L255" s="68">
        <f>IFERROR(D246*K255,"")</f>
        <v>1</v>
      </c>
    </row>
    <row r="256" spans="2:12" ht="11.1" customHeight="1">
      <c r="B256" s="43" t="s">
        <v>30</v>
      </c>
      <c r="C256" s="44" t="s">
        <v>31</v>
      </c>
      <c r="D256" s="59" t="str">
        <f>IF(OR(D243=0,D247="　"),"",IF(D254=D255,"OK","CHECK"))</f>
        <v>OK</v>
      </c>
      <c r="F256" s="24">
        <v>14</v>
      </c>
      <c r="G256" s="17" t="str">
        <f>IF(OR(D243=0,D247="　"),"","結束バンド")</f>
        <v>結束バンド</v>
      </c>
      <c r="H256" s="29" t="str">
        <f>IF(OR(D243=0,D247="　"),"","66ナイロン")</f>
        <v>66ナイロン</v>
      </c>
      <c r="I256" s="58" t="str">
        <f>IF(OR(D243=0,D247="　"),"","n=スペーサ数×2")</f>
        <v>n=スペーサ数×2</v>
      </c>
      <c r="J256" s="16" t="str">
        <f>IF(OR(D243=0,D247="　"),"","本")</f>
        <v>本</v>
      </c>
      <c r="K256" s="38">
        <f>IF(OR(D243=0,D247="　"),"",2*K254)</f>
        <v>6</v>
      </c>
      <c r="L256" s="67">
        <f>IFERROR(D246*K256,"")</f>
        <v>6</v>
      </c>
    </row>
    <row r="257" spans="2:12" ht="11.1" customHeight="1">
      <c r="B257" s="45" t="s">
        <v>12</v>
      </c>
      <c r="C257" s="9" t="s">
        <v>10</v>
      </c>
      <c r="D257" s="60">
        <f>IF(OR(D243=0,D247="　"),"──",SUM(D251:D252))</f>
        <v>4</v>
      </c>
      <c r="F257" s="24">
        <v>15</v>
      </c>
      <c r="G257" s="17" t="str">
        <f>IF(OR(D243=0,D247="　"),"","結束テープ")</f>
        <v>結束テープ</v>
      </c>
      <c r="H257" s="29" t="str">
        <f>IF(OR(D243=0,D247="　"),"","フィラメントテープ")</f>
        <v>フィラメントテープ</v>
      </c>
      <c r="I257" s="58" t="str">
        <f>IF(OR(D243=0,D247="　"),"","L=(自由長+緊張部長)÷@1.0m×テープ係数"&amp;IF(MID(D247,4,1)="5",_xlfn.IFS(1*MID(LEFT(D247, LEN(D247)-1),6,2)&lt;4,"0.8",1*MID(LEFT(D247, LEN(D247)-1),6,2)&lt;7,"1.0",1*MID(LEFT(D247, LEN(D247)-1),6,2)&lt;10,"1.2",1*MID(LEFT(D247, LEN(D247)-1),6,2)&lt;13,"1.4"),_xlfn.IFS(1*MID(LEFT(D247, LEN(D247)-1),6,2)&lt;4,"1.0",1*MID(LEFT(D247, LEN(D247)-1),6,2)&lt;7,"1.2",1*MID(LEFT(D247, LEN(D247)-1),6,2)&lt;10,"1.4",1*MID(LEFT(D247, LEN(D247)-1),6,2)&lt;15,"1.8")))</f>
        <v>L=(自由長+緊張部長)÷@1.0m×テープ係数0.8</v>
      </c>
      <c r="J257" s="16" t="str">
        <f>IF(OR(D243=0,D247="　"),"","m")</f>
        <v>m</v>
      </c>
      <c r="K257" s="42" cm="1">
        <f t="array" ref="K257">IF(OR(D243=0,D247="　"),"",MROUND((SUM(D257,D258))/1*IF(MID(D247,4,1)="5",_xlfn.SWITCH(1*MID(D247,6,FIND("H",D247,6)-6),1,0.8,2,0.8,3,0.8,4,1,5,1,6,1,7,1.2,8,1.2,9,1.2,10,1.4,11,1.4,12,1.4),_xlfn.SWITCH(1*MID(D247,6,FIND("H",D247,6)-6),1,1,2,1,3,1,4,1.2,5,1.2,6,1.2,7,1.4,8,1.4,9,1.4,10,1.8,11,1.8,12,1.8,13,1.8,14,1.8,15,2.5,16,2.5,17,2.5,18,2.5,19,2.5)),0.1))</f>
        <v>4</v>
      </c>
      <c r="L257" s="69">
        <f>IFERROR(D246*K257,"")</f>
        <v>4</v>
      </c>
    </row>
    <row r="258" spans="2:12" ht="11.1" customHeight="1">
      <c r="B258" s="47" t="s">
        <v>13</v>
      </c>
      <c r="C258" s="10" t="s">
        <v>10</v>
      </c>
      <c r="D258" s="61" cm="1">
        <f t="array" ref="D258">IF(OR(D243=0,D247="　"),"──",IF(MID(D247,4,1)="5",_xlfn.IFS(1*MID(LEFT(D247,LEN(D247)-1),6,2)&lt;8,1,1*MID(LEFT(D247,LEN(D247)-1),6,2)&lt;13,1.2),_xlfn.IFS(1*MID(LEFT(D247,LEN(D247)-1),6,2)&lt;6,1,1*MID(LEFT(D247,LEN(D247)-1),6,2)&lt;15,1.2)))</f>
        <v>1</v>
      </c>
      <c r="F258" s="24">
        <v>16</v>
      </c>
      <c r="G258" s="17" t="str">
        <f>IF(OR(D243=0,D247="　",1*MID(D250,1,2)=1,1*MID(D250,1,2)=5),"","注入ホース")</f>
        <v>注入ホース</v>
      </c>
      <c r="H258" s="29" t="str">
        <f>IF(OR(D243=0,D247="　",1*MID(D250,1,2)=1,1*MID(D250,1,2)=5),"","φ16/20、高密度ポリエチレン")</f>
        <v>φ16/20、高密度ポリエチレン</v>
      </c>
      <c r="I258" s="46" t="str">
        <f>IF(OR(D243=0,D247="　",1*MID(D250,1,2)=1,1*MID(D250,1,2)=5),"","L=テンドン長")</f>
        <v>L=テンドン長</v>
      </c>
      <c r="J258" s="16" t="str">
        <f>IF(OR(D243=0,D247="　",1*MID(D250,1,2)=1,1*MID(D250,1,2)=5),"","m")</f>
        <v>m</v>
      </c>
      <c r="K258" s="30">
        <f>IF(OR(D243=0,D247="　",1*MID(D250,1,2)=1,1*MID(D250,1,2)=5),"",MROUND(D260,0.1))</f>
        <v>8.2000000000000011</v>
      </c>
      <c r="L258" s="67">
        <f>IFERROR(D246*K258,"")</f>
        <v>8.2000000000000011</v>
      </c>
    </row>
    <row r="259" spans="2:12" ht="11.1" customHeight="1">
      <c r="B259" s="48" t="s">
        <v>19</v>
      </c>
      <c r="C259" s="10" t="s">
        <v>14</v>
      </c>
      <c r="D259" s="62">
        <f>IF(OR(D243=0,D247="　"),"──",0.2)</f>
        <v>0.2</v>
      </c>
      <c r="F259" s="24">
        <v>17</v>
      </c>
      <c r="G259" s="17" t="str" cm="1">
        <f t="array" ref="G259">_xlfn.IFS(OR(D243=0,D247="　",MID(D249,1,2)="なし",MID(D249,1,3)="受圧体",1*MID(D250,1,2)=1,1*MID(D250,1,2)&gt;=5),"",MID(D249,1,3)="のり面","のり面角度台座",MID(D249,1,3)="構造物","構造物壁面台座",MID(D249,1,3)="土留め","土留め台座",MID(D249,1,3)="個別台","個別台座")</f>
        <v>のり面角度台座</v>
      </c>
      <c r="H259" s="46" t="str" cm="1">
        <f t="array" ref="H259">IF(OR(D243=0,D247="　",G259=""),"",_xlfn.IFS(MID(D249,1,3)="のり面",IF(1*MID(D247,4,1)=5,_xlfn.IFS(1*MID(D247,6,FIND("H",D247,6)-6)&lt;5,"ST140",1*MID(D247,6,FIND("H",D247,6)-6)&lt;8,"ST170",1*MID(D247,6,FIND("H",D247,6)-6)&lt;13,"ST220"),_xlfn.IFS(1*MID(D247,6,FIND("H",D247,6)-6)&lt;4,"ST140",1*MID(D247,6,FIND("H",D247,6)-6)&lt;5,"ST170",1*MID(D247,6,FIND("H",D247,6)-6)&lt;8,"ST220",1*MID(D247,6,FIND("H",D247,6)-6)&lt;20,"非該当"))&amp;"、FCD450相当",OR(MID(D249,1,3)="構造物",MID(D249,1,3)="土留め",MID(D249,1,3)="個別台"),D247&amp;"用"&amp;_xlfn.IFS(MID(D249,1,3)="構造物","",MID(D249,1,3)="土留め",IF(1*MID(D247,4,1)=5,_xlfn.SWITCH(1*MID(D247,6,FIND("H",D247,6)-6),1,"DA110",2,"DA220",3,"DA330",4,"DA440",5,"DA550",6,"DA660",7,"DA770",8,"DA880",9,"DA990",10,"DA1100",11,"DA1210",12,"DA1320"),_xlfn.SWITCH(1*MID(D247,6,FIND("H",D247,6)-6),1,"DA220",2,"DA330",3,"DA550",4,"DA660",5,"DA880",6,"DA990",7,"DA1100",8,"DA1320",9,"DA1410",10,"DA1570",11,"DA1730",12,"DA1880",13,"DA2040",14,"DA2200")),MID(D249,1,3)="個別台",D262)))&amp;IF(OR(D243=0,D247="　",G259=""),"","、"&amp;_xlfn.IFS(MID(D245,1,3)="防食Ⅱ","HDZT77めっき",MID(D245,5,2)="塩害","ｱﾙﾐﾅｲｽﾞ処理",MID(D245,5,2)="酸性","重防食処理"))</f>
        <v>ST140、FCD450相当、HDZT77めっき</v>
      </c>
      <c r="I259" s="52" t="str">
        <f>IF(OR(D243=0,D247="　",G259=""),"","n=1")</f>
        <v>n=1</v>
      </c>
      <c r="J259" s="16" t="str">
        <f>IF(OR(D243=0,D247="　",G259=""),"","台")</f>
        <v>台</v>
      </c>
      <c r="K259" s="32">
        <f>IF(OR(D243=0,D247="　",G259=""),"",1)</f>
        <v>1</v>
      </c>
      <c r="L259" s="68">
        <f>IFERROR(D246*K259,"")</f>
        <v>1</v>
      </c>
    </row>
    <row r="260" spans="2:12" ht="11.1" customHeight="1">
      <c r="B260" s="50" t="s">
        <v>20</v>
      </c>
      <c r="C260" s="10" t="s">
        <v>10</v>
      </c>
      <c r="D260" s="63">
        <f>IF(OR(D243=0,D247="　"),"──",SUM(D253,D257:D259))</f>
        <v>8.1999999999999993</v>
      </c>
      <c r="F260" s="24">
        <v>18</v>
      </c>
      <c r="G260" s="17" t="str">
        <f>IF(OR(D243=0,D247="　",MID(D249,1,3)&lt;&gt;"のり面",1*MID(D250,1,2)=1,1*MID(D250,1,2)&gt;=5),"","補剛板")</f>
        <v>補剛板</v>
      </c>
      <c r="H260" s="46" t="str" cm="1">
        <f t="array" ref="H260">IF(OR(D243=0,D247="　",G260=""),"",IF(MID(D247,4,1)="5","□"&amp;_xlfn.SWITCH(1*MID(D247,6,FIND("H",D247,6)-6),1,"210φ131t12",2,"210φ131t12",3,"240φ131t12",4,"270φ131t12",5,"280φ143t12",6,"310φ143t16",7,"350φ143t19",8,"350φ180t19",9,"350φ180t19",10,"350φ180t19",11,"350φ180t22",12,"350φ180t22"),"□"&amp;_xlfn.SWITCH(1*MID(D247,6,FIND("H",D247,6)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243=0,D247="　",G260=""),"","、"&amp;_xlfn.IFS(MID(D245,1,3)="防食Ⅱ","HDZT77めっき",MID(D245,5,2)="塩害","ｱﾙﾐﾅｲｽﾞ処理",MID(D245,5,2)="酸性","重防食処理"))</f>
        <v>□210φ131t12、SS400相当、HDZT77めっき</v>
      </c>
      <c r="I260" s="52" t="str">
        <f>IF(OR(D243=0,D247="　",G260=""),"","n=1")</f>
        <v>n=1</v>
      </c>
      <c r="J260" s="16" t="str">
        <f>IF(OR(D243=0,D247="　",G260=""),"","枚")</f>
        <v>枚</v>
      </c>
      <c r="K260" s="32">
        <f>IF(OR(D243=0,D247="　",G260=""),"",1)</f>
        <v>1</v>
      </c>
      <c r="L260" s="68">
        <f>IFERROR(D246*K260,"")</f>
        <v>1</v>
      </c>
    </row>
    <row r="261" spans="2:12" ht="11.1" customHeight="1">
      <c r="B261" s="51" t="s">
        <v>15</v>
      </c>
      <c r="C261" s="12" t="s">
        <v>10</v>
      </c>
      <c r="D261" s="64">
        <f>IF(OR(D243=0,D247="　"),"──",0.25)</f>
        <v>0.25</v>
      </c>
      <c r="F261" s="24">
        <v>19</v>
      </c>
      <c r="G261" s="17" t="str" cm="1">
        <f t="array" ref="G261">_xlfn.IFS(OR(D243=0,D247="　",MID(D248,1,3)="ｱﾙﾐ",1*MID(D250,1,2)=1,1*MID(D250,1,2)&gt;=5),"",MID(D248,1,3)&lt;&gt;"ｱﾙﾐ","テンドン補修用塗料")</f>
        <v>テンドン補修用塗料</v>
      </c>
      <c r="H261" s="38" t="str" cm="1">
        <f t="array" ref="H261">_xlfn.IFS(OR(D243=0,D247="　",MID(D248,1,3)="ｱﾙﾐ",1*MID(D250,1,2)=1,1*MID(D250,1,2)&gt;=5),"",MID(D248,1,3)&lt;&gt;"ｱﾙﾐ","エポキシ樹脂")</f>
        <v>エポキシ樹脂</v>
      </c>
      <c r="I261" s="52" t="str" cm="1">
        <f t="array" ref="I261">_xlfn.IFS(OR(D243=0,D247="　",MID(D248,1,3)="ｱﾙﾐ",1*MID(D250,1,2)=1,1*MID(D250,1,2)&gt;=5),"",MID(D248,1,3)&lt;&gt;"ｱﾙﾐ","W=PC鋼より線本数×"&amp;IF(MID(D247,4,1)="5","0.28","0.4"))</f>
        <v>W=PC鋼より線本数×0.28</v>
      </c>
      <c r="J261" s="16" t="str" cm="1">
        <f t="array" ref="J261">_xlfn.IFS(OR(D243=0,D247="　",MID(D248,1,3)="ｱﾙﾐ",1*MID(D250,1,2)=1,1*MID(D250,1,2)&gt;=5),"",MID(D248,1,3)&lt;&gt;"ｱﾙﾐ","g")</f>
        <v>g</v>
      </c>
      <c r="K261" s="77" cm="1">
        <f t="array" ref="K261">_xlfn.IFS(OR(D243=0,D247="　",MID(D248,1,3)="ｱﾙﾐ",1*MID(D250,1,2)=1,1*MID(D250,1,2)&gt;=5),"",MID(D248,1,3)&lt;&gt;"ｱﾙﾐ",MID(D247,6,FIND("H",D247,6)-6)*IF(MID(D247,4,1)="5",0.28,0.4))</f>
        <v>0.56000000000000005</v>
      </c>
      <c r="L261" s="78">
        <f>IFERROR(D246*K261,"")</f>
        <v>0.56000000000000005</v>
      </c>
    </row>
    <row r="262" spans="2:12" ht="11.1" customHeight="1">
      <c r="B262" s="65" t="s">
        <v>32</v>
      </c>
      <c r="C262" s="3" t="s">
        <v>33</v>
      </c>
      <c r="D262" s="76"/>
      <c r="F262" s="24">
        <v>20</v>
      </c>
      <c r="G262" s="17" t="str" cm="1">
        <f t="array" ref="G262">_xlfn.IFS(OR(D243=0,D247="　",MID(D248,1,3)="ｱﾙﾐ",1*MID(D250,1,2)=1,1*MID(D250,1,2)&gt;=5),"",MID(D248,1,3)&lt;&gt;"ｱﾙﾐ","長期防錆スプレー")</f>
        <v>長期防錆スプレー</v>
      </c>
      <c r="H262" s="38" t="str" cm="1">
        <f t="array" ref="H262">_xlfn.IFS(OR(D243=0,D247="　",MID(D248,1,3)="ｱﾙﾐ",1*MID(D250,1,2)=1,1*MID(D250,1,2)&gt;=5),"",MID(D248,1,3)&lt;&gt;"ｱﾙﾐ","防錆オイル")</f>
        <v>防錆オイル</v>
      </c>
      <c r="I262" s="52" t="str" cm="1">
        <f t="array" ref="I262">_xlfn.IFS(OR(D243=0,D247="　",MID(D248,1,3)="ｱﾙﾐ",1*MID(D250,1,2)=1,1*MID(D250,1,2)&gt;=5),"",MID(D248,1,3)&lt;&gt;"ｱﾙﾐ","n=0.01×(PC鋼より線本数+"&amp;IF(MID(D247,4,1)="5","6","12")&amp;")")</f>
        <v>n=0.01×(PC鋼より線本数+6)</v>
      </c>
      <c r="J262" s="16" t="str" cm="1">
        <f t="array" ref="J262">_xlfn.IFS(OR(D243=0,D247="　",MID(D248,1,3)="ｱﾙﾐ",1*MID(D250,1,2)=1,1*MID(D250,1,2)&gt;=5),"",MID(D248,1,3)&lt;&gt;"ｱﾙﾐ","缶")</f>
        <v>缶</v>
      </c>
      <c r="K262" s="77" cm="1">
        <f t="array" ref="K262">_xlfn.IFS(OR(D243=0,D247="　",MID(D248,1,3)="ｱﾙﾐ",1*MID(D250,1,2)=1,1*MID(D250,1,2)&gt;=5),"",MID(D248,1,3)&lt;&gt;"ｱﾙﾐ",0.01*(IF(MID(D247,4,1)="5",6,12)+MID(LEFT(D247,LEN(D247)-1),6,2)))</f>
        <v>0.08</v>
      </c>
      <c r="L262" s="78">
        <f>IFERROR(D246*K262,"")</f>
        <v>0.08</v>
      </c>
    </row>
    <row r="263" spans="2:12" ht="11.1" customHeight="1">
      <c r="F263" s="24">
        <v>21</v>
      </c>
      <c r="G263" s="17" t="str">
        <f>IF(OR(D243=0,D247="　",1*MID(D250,1,2)&lt;=1,1*MID(D250,1,2)=3,,1*MID(D250,1,2)=6),"","ﾌﾘｰﾊﾟｯｶｰ注入ﾎｰｽ")</f>
        <v/>
      </c>
      <c r="H263" s="29" t="str">
        <f>IF(OR(D243=0,D247="　",1*MID(D250,1,2)&lt;=1,1*MID(D250,1,2)=3,,1*MID(D250,1,2)=6),"","φ16/20、ポリエチレン")</f>
        <v/>
      </c>
      <c r="I263" s="29" t="str">
        <f>IF(OR(D243=0,D247="　",1*MID(D250,1,2)&lt;=1,1*MID(D250,1,2)=3,,1*MID(D250,1,2)=6),"","L=自由長+緊張部長")</f>
        <v/>
      </c>
      <c r="J263" s="16" t="str">
        <f>IF(OR(D243=0,D247="　",1*MID(D250,1,2)&lt;=1,1*MID(D250,1,2)=3,,1*MID(D250,1,2)=6),"","m")</f>
        <v/>
      </c>
      <c r="K263" s="30" t="str">
        <f>IF(OR(D243=0,D247="　",1*MID(D250,1,2)&lt;=1,1*MID(D250,1,2)=3,,1*MID(D250,1,2)=6),"",D257+D258)</f>
        <v/>
      </c>
      <c r="L263" s="67" t="str">
        <f>IFERROR(D246*K263,"")</f>
        <v/>
      </c>
    </row>
    <row r="264" spans="2:12" ht="11.1" customHeight="1">
      <c r="F264" s="24">
        <v>22</v>
      </c>
      <c r="G264" s="17" t="str">
        <f>IF(OR(D243=0,D247="　",1*MID(D250,1,2)&lt;=1,1*MID(D250,1,2)=3,,1*MID(D250,1,2)=6),"","フリーパッカー")</f>
        <v/>
      </c>
      <c r="H264" s="52" t="str" cm="1">
        <f t="array" ref="H264">IF(OR(D243=0,D247="　",1*MID(D250,1,2)&lt;=1,1*MID(D250,1,2)=3,1*MID(D250,1,2)=6),"",_xlfn.SWITCH(D254,90,"PA-170",115,"PA-200",135,"PA-240",146,"PA-290",165,"PA-350",216,"PA-420")&amp;"、織布")</f>
        <v/>
      </c>
      <c r="I264" s="52" t="str">
        <f>IF(OR(D243=0,D247="　",1*MID(D250,1,2)&lt;=1,1*MID(D250,1,2)=3,1*MID(D250,1,2)=6),"","L=自由長+0.5")</f>
        <v/>
      </c>
      <c r="J264" s="16" t="str">
        <f>IF(OR(D243=0,D247="　",1*MID(D250,1,2)&lt;=1,1*MID(D250,1,2)=3,,1*MID(D250,1,2)=6),"","m")</f>
        <v/>
      </c>
      <c r="K264" s="30" t="str">
        <f>IF(OR(D243=0,D247="　",1*MID(D250,1,2)&lt;=1,1*MID(D250,1,2)=3,,1*MID(D250,1,2)=6),"",D257+0.5)</f>
        <v/>
      </c>
      <c r="L264" s="69" t="str">
        <f>IFERROR(D246*K264,"")</f>
        <v/>
      </c>
    </row>
    <row r="265" spans="2:12" ht="11.1" customHeight="1">
      <c r="F265" s="24">
        <v>23</v>
      </c>
      <c r="G265" s="17" t="str">
        <f>IF(OR(D243=0,D247="　",1*MID(D250,1,2)&lt;=1,1*MID(D250,1,2)=3,,1*MID(D250,1,2)=6),"","ﾌﾘｰﾊﾟｯｶｰ取付加工")</f>
        <v/>
      </c>
      <c r="H265" s="29" t="str">
        <f>IF(OR(D243=0,D247="　",1*MID(D250,1,2)&lt;=1,1*MID(D250,1,2)=3,,1*MID(D250,1,2)=6),"","材工")</f>
        <v/>
      </c>
      <c r="I265" s="29" t="str">
        <f>IF(OR(D243=0,D247="　",1*MID(D250,1,2)&lt;=1,1*MID(D250,1,2)=3,,1*MID(D250,1,2)=6),"","n=1")</f>
        <v/>
      </c>
      <c r="J265" s="16" t="str">
        <f>IF(OR(D243=0,D247="　",1*MID(D250,1,2)&lt;=1,1*MID(D250,1,2)=3,,1*MID(D250,1,2)=6),"","式")</f>
        <v/>
      </c>
      <c r="K265" s="32" t="str">
        <f>IF(OR(D243=0,D247="　",1*MID(D250,1,2)&lt;=1,1*MID(D250,1,2)=3,,1*MID(D250,1,2)=6),"",1)</f>
        <v/>
      </c>
      <c r="L265" s="70" t="str">
        <f>IFERROR(D246*K265,"")</f>
        <v/>
      </c>
    </row>
    <row r="266" spans="2:12" ht="11.1" customHeight="1">
      <c r="F266" s="24">
        <v>24</v>
      </c>
      <c r="G266" s="17" t="str">
        <f>IF(OR(D243=0,D247="　",1*MID(D250,1,2)&lt;=2,1*MID(D250,1,2)=5),"","フリクションパッカー")</f>
        <v/>
      </c>
      <c r="H266" s="38" t="str" cm="1">
        <f t="array" ref="H266">IF(OR(D243=0,D247="　",1*MID(D250,1,2)&lt;=2,1*MID(D250,1,2)=5),"",_xlfn.SWITCH(D254,90,"FP125",115,"FP125",135,"FP150",146,"FP175",165,"FP200",216,"FP235")&amp;"、パイレン布")</f>
        <v/>
      </c>
      <c r="I266" s="38" t="str">
        <f>IF(OR(D243=0,D247="　",1*MID(D250,1,2)&lt;=2,1*MID(D250,1,2)=5),"","L=アンカー体長+0.5")</f>
        <v/>
      </c>
      <c r="J266" s="16" t="str">
        <f>IF(OR(D243=0,D247="　",1*MID(D250,1,2)&lt;=2,1*MID(D250,1,2)=5),"","m")</f>
        <v/>
      </c>
      <c r="K266" s="30" t="str">
        <f>IF(OR(D243=0,D247="　",1*MID(D250,1,2)&lt;=2,1*MID(D250,1,2)=5),"",D253+0.5)</f>
        <v/>
      </c>
      <c r="L266" s="68" t="str">
        <f>IFERROR(D246*K266,"")</f>
        <v/>
      </c>
    </row>
    <row r="267" spans="2:12" ht="11.1" customHeight="1">
      <c r="F267" s="24">
        <v>25</v>
      </c>
      <c r="G267" s="17" t="str">
        <f>IF(OR(D243=0,D247="　",1*MID(D250,1,2)&lt;=2,1*MID(D250,1,2)=5),"","ﾌﾘｸｼｮﾝﾊﾟｯｶｰ取付加工")</f>
        <v/>
      </c>
      <c r="H267" s="29" t="str">
        <f>IF(OR(D243=0,D247="　",1*MID(D250,1,2)&lt;=2,1*MID(D250,1,2)=5),"","材工")</f>
        <v/>
      </c>
      <c r="I267" s="29" t="str">
        <f>IF(OR(D243=0,D247="　",1*MID(D250,1,2)&lt;=2,1*MID(D250,1,2)=5),"","n=1")</f>
        <v/>
      </c>
      <c r="J267" s="16" t="str">
        <f>IF(OR(D243=0,D247="　",1*MID(D250,1,2)&lt;=2,1*MID(D250,1,2)=5),"","式")</f>
        <v/>
      </c>
      <c r="K267" s="32" t="str">
        <f>IF(OR(D243=0,D247="　",1*MID(D250,1,2)&lt;=2,1*MID(D250,1,2)=5),"",1)</f>
        <v/>
      </c>
      <c r="L267" s="70" t="str">
        <f>IFERROR(D246*K267,"")</f>
        <v/>
      </c>
    </row>
    <row r="268" spans="2:12" ht="11.1" customHeight="1">
      <c r="F268" s="24">
        <v>26</v>
      </c>
      <c r="G268" s="17" t="str">
        <f>IF(OR(D243=0,D247="　",1*MID(D250,1,2)=0,1*MID(D250,1,2)=2,1*MID(D250,1,2)=3,1*MID(D250,1,2)=4),"","試験ﾊﾟｯｶｰ水注入ﾎｰｽ")</f>
        <v/>
      </c>
      <c r="H268" s="38" t="str">
        <f>IF(OR(D243=0,D247="　",1*MID(D250,1,2)=0,1*MID(D250,1,2)=2,1*MID(D250,1,2)=3,1*MID(D250,1,2)=4),"","φ4/6、ナイロン")</f>
        <v/>
      </c>
      <c r="I268" s="38" t="str">
        <f>IF(OR(D243=0,D247="　",1*MID(D250,1,2)=0,1*MID(D250,1,2)=2,1*MID(D250,1,2)=3,1*MID(D250,1,2)=4),"","L=自由長+緊張部長")</f>
        <v/>
      </c>
      <c r="J268" s="79" t="str">
        <f>IF(OR(D243=0,D247="　",1*MID(D250,1,2)=0,1*MID(D250,1,2)=2,1*MID(D250,1,2)=3,1*MID(D250,1,2)=4),"","m")</f>
        <v/>
      </c>
      <c r="K268" s="80" t="str">
        <f>IF(OR(D243=0,D247="　",1*MID(D250,1,2)=0,1*MID(D250,1,2)=2,1*MID(D250,1,2)=3,1*MID(D250,1,2)=4),"",D257+D258)</f>
        <v/>
      </c>
      <c r="L268" s="81" t="str">
        <f>IFERROR(D246*K268,"")</f>
        <v/>
      </c>
    </row>
    <row r="269" spans="2:12" ht="11.1" customHeight="1">
      <c r="F269" s="24">
        <v>27</v>
      </c>
      <c r="G269" s="17" t="str">
        <f>IF(OR(D243=0,D247="　",1*MID(D250,1,2)=0,1*MID(D250,1,2)=2,1*MID(D250,1,2)=3,1*MID(D250,1,2)=4),"","引抜試験パッカー")</f>
        <v/>
      </c>
      <c r="H269" s="38" t="str" cm="1">
        <f t="array" ref="H269">IF(OR(D243=0,D247="　",1*MID(D250,1,2)=0,1*MID(D250,1,2)=2,1*MID(D250,1,2)=3,1*MID(D250,1,2)=4),"",_xlfn.SWITCH(D254,90,"PU90",115,"PU115",135,"PU135",146,"PU146",165,"PU165")&amp;"、3層構造(鋼管･ゴム･布)")</f>
        <v/>
      </c>
      <c r="I269" s="38" t="str">
        <f>IF(OR(D243=0,D247="　",1*MID(D250,1,2)=0,1*MID(D250,1,2)=2,1*MID(D250,1,2)=3,1*MID(D250,1,2)=4),"","n=1")</f>
        <v/>
      </c>
      <c r="J269" s="79" t="str">
        <f>IF(OR(D243=0,D247="　",1*MID(D250,1,2)=0,1*MID(D250,1,2)=2,1*MID(D250,1,2)=3,1*MID(D250,1,2)=4),"","式")</f>
        <v/>
      </c>
      <c r="K269" s="32" t="str" cm="1">
        <f t="array" ref="K269">IF(OR(D243=0,D247="　",1*MID(D250,1,2)=0,1*MID(D250,1,2)=2,1*MID(D250,1,2)=3,1*MID(D250,1,2)=4),"",_xlfn.IFS(OR(1*MID(D250,1,2)=1,1*MID(D250,1,2)&gt;=5),1))</f>
        <v/>
      </c>
      <c r="L269" s="68" t="str">
        <f>IFERROR(D246*K269,"")</f>
        <v/>
      </c>
    </row>
    <row r="270" spans="2:12" ht="11.1" customHeight="1">
      <c r="F270" s="24">
        <v>28</v>
      </c>
      <c r="G270" s="17" t="str">
        <f>IF(OR(D243=0,D247="　",1*MID(D250,1,2)=0,1*MID(D250,1,2)=2,1*MID(D250,1,2)=3,1*MID(D250,1,2)=4),"","引抜試験パッカー取付加工")</f>
        <v/>
      </c>
      <c r="H270" s="38" t="str">
        <f>IF(OR(D243=0,D247="　",1*MID(D250,1,2)=0,1*MID(D250,1,2)=2,1*MID(D250,1,2)=3,1*MID(D250,1,2)=4),"","材工")</f>
        <v/>
      </c>
      <c r="I270" s="38" t="str">
        <f>IF(OR(D243=0,D247="　",1*MID(D250,1,2)=0,1*MID(D250,1,2)=2,1*MID(D250,1,2)=3,1*MID(D250,1,2)=4),"","n=1")</f>
        <v/>
      </c>
      <c r="J270" s="79" t="str" cm="1">
        <f t="array" ref="J270">IF(OR(D243=0,D247="　",1*MID(D250,1,2)=0,1*MID(D250,1,2)=2,1*MID(D250,1,2)=3,1*MID(D250,1,2)=4),"",_xlfn.IFS(OR(1*MID(D250,1,2)=1,1*MID(D250,1,2)&gt;=5),"式"))</f>
        <v/>
      </c>
      <c r="K270" s="32" t="str" cm="1">
        <f t="array" ref="K270">IF(OR(D243=0,D247="　",1*MID(D250,1,2)=0,1*MID(D250,1,2)=2,1*MID(D250,1,2)=3,1*MID(D250,1,2)=4),"",_xlfn.IFS(OR(1*MID(D250,1,2)=1,1*MID(D250,1,2)&gt;=5),1))</f>
        <v/>
      </c>
      <c r="L270" s="68" t="str">
        <f>IFERROR(D246*K270,"")</f>
        <v/>
      </c>
    </row>
    <row r="271" spans="2:12" ht="11.1" customHeight="1">
      <c r="F271" s="24">
        <v>29</v>
      </c>
      <c r="G271" s="17" t="str">
        <f>IF(OR(D243=0,D247="　",1*MID(D250,1,2)=0,1*MID(D250,1,2)=2,1*MID(D250,1,2)=3,1*MID(D250,1,2)=4),"","自由長洗浄ﾎｰｽ")</f>
        <v/>
      </c>
      <c r="H271" s="38" t="str">
        <f>IF(OR(D243=0,D247="　",1*MID(D250,1,2)=0,1*MID(D250,1,2)=2,1*MID(D250,1,2)=3,1*MID(D250,1,2)=4),"","φ16/20、ポリエチレン")</f>
        <v/>
      </c>
      <c r="I271" s="38" t="str">
        <f>IF(OR(D243=0,D247="　",1*MID(D250,1,2)=0,1*MID(D250,1,2)=2,1*MID(D250,1,2)=3,1*MID(D250,1,2)=4),"","L=自由長+0.5")</f>
        <v/>
      </c>
      <c r="J271" s="79" t="str">
        <f>IF(OR(D243=0,D247="　",1*MID(D250,1,2)=0,1*MID(D250,1,2)=2,1*MID(D250,1,2)=3,1*MID(D250,1,2)=4),"","m")</f>
        <v/>
      </c>
      <c r="K271" s="32" t="str">
        <f>IF(OR(D243=0,D247="　",1*MID(D250,1,2)=0,1*MID(D250,1,2)=2,1*MID(D250,1,2)=3,1*MID(D250,1,2)=4),"",D257+0.5)</f>
        <v/>
      </c>
      <c r="L271" s="81" t="str">
        <f>IFERROR(D246*K271,"")</f>
        <v/>
      </c>
    </row>
    <row r="272" spans="2:12" ht="11.1" customHeight="1">
      <c r="D272" s="1" t="s">
        <v>9</v>
      </c>
      <c r="F272" s="56">
        <v>30</v>
      </c>
      <c r="G272" s="82" t="str">
        <f>IF(OR(D243=0,D247="　",1*MID(D250,1,2)&lt;=2,1*MID(D250,1,2)=5,MID(D272,6,2)&lt;&gt;"あり"),"","確認ホース")</f>
        <v/>
      </c>
      <c r="H272" s="83" t="str">
        <f>IF(OR(D243=0,D247="　",1*MID(D250,1,2)&lt;=2,1*MID(D250,1,2)=5,MID(D272,6,2)&lt;&gt;"あり"),"","φ17、ポリエチレン")</f>
        <v/>
      </c>
      <c r="I272" s="83"/>
      <c r="J272" s="84" t="str">
        <f>IF(OR(D243=0,D247="　",1*MID(D250,1,2)&lt;=2,1*MID(D250,1,2)=5,MID(D272,6,2)&lt;&gt;"あり"),"","m")</f>
        <v/>
      </c>
      <c r="K272" s="85" t="str">
        <f>IF(OR(D242=0,D247="　",1*MID(D250,1,2)&lt;=2,1*MID(D250,1,2)=5,MID(D272,6,2)&lt;&gt;"あり"),"",0.5+MROUND(D257+D259,0.1))</f>
        <v/>
      </c>
      <c r="L272" s="86" t="str">
        <f>IFERROR(D246*K272,"")</f>
        <v/>
      </c>
    </row>
    <row r="274" spans="2:12" ht="11.1" customHeight="1">
      <c r="B274" s="19" t="s">
        <v>1</v>
      </c>
      <c r="D274" s="4"/>
      <c r="G274" s="73" t="s">
        <v>39</v>
      </c>
    </row>
    <row r="275" spans="2:12" ht="11.1" customHeight="1">
      <c r="G275" s="99">
        <f>D276</f>
        <v>9</v>
      </c>
      <c r="H275" s="55" t="str">
        <f>IF(D277=0,"",D278&amp;" "&amp;D281&amp; "："&amp;TEXT(D294,"L=##0.00")&amp;"m"&amp;TEXT(D292,",L1=##0.00")&amp;"m"&amp;TEXT(D291,",Lf=##0.00")&amp;"m"&amp;TEXT(D287,",LA=##0.00")&amp;"m"&amp;TEXT(D293,",L2=##0.00")&amp;"m")</f>
        <v/>
      </c>
      <c r="I275" s="55"/>
      <c r="J275" s="18"/>
    </row>
    <row r="276" spans="2:12" ht="11.1" customHeight="1">
      <c r="B276" s="13" t="s">
        <v>2</v>
      </c>
      <c r="C276" s="3" t="s">
        <v>3</v>
      </c>
      <c r="D276" s="98">
        <f>1+(ROW()-ROW($D$4))/34</f>
        <v>9</v>
      </c>
      <c r="F276" s="20"/>
      <c r="G276" s="21" t="s">
        <v>21</v>
      </c>
      <c r="H276" s="22" t="s">
        <v>22</v>
      </c>
      <c r="I276" s="22" t="s">
        <v>38</v>
      </c>
      <c r="J276" s="23" t="s">
        <v>23</v>
      </c>
      <c r="K276" s="22" t="s">
        <v>24</v>
      </c>
      <c r="L276" s="3" t="s">
        <v>4</v>
      </c>
    </row>
    <row r="277" spans="2:12" ht="11.1" customHeight="1">
      <c r="B277" s="28" t="s">
        <v>25</v>
      </c>
      <c r="C277" s="5" t="s">
        <v>26</v>
      </c>
      <c r="D277" s="6">
        <v>0</v>
      </c>
      <c r="F277" s="24">
        <v>1</v>
      </c>
      <c r="G277" s="25" t="str">
        <f>IF(OR(D277=0,D281="　"),"","硅砂付着ECFﾃﾝﾄﾞﾝ")</f>
        <v/>
      </c>
      <c r="H277" s="26" t="str">
        <f>IF(OR(D277=0,D281="　"),"",D281&amp;" ("&amp;MID(D281,6,FIND("H",D281,6)-6)&amp;IF(MID(D281,4,1)="5","φ12.7","φ15.2")&amp;")")</f>
        <v/>
      </c>
      <c r="I277" s="57" t="str">
        <f>IF(OR(D277=0,D281="　"),"","W=テンドン長×PC鋼より線本数×"&amp;IF(MID(D281,4,1)="5","0.774","1.101")&amp;"kg/m")</f>
        <v/>
      </c>
      <c r="J277" s="14" t="str">
        <f>IF(OR(D277=0,D281="　"),"","kg")</f>
        <v/>
      </c>
      <c r="K277" s="27" t="str">
        <f>IF(OR(D277=0,D281="　"),"",MROUND(D294*MID(D281,6,FIND("H",D281,6)-6)*IF(MID(D281,4,1)="5","0.774","1.101"),0.01))</f>
        <v/>
      </c>
      <c r="L277" s="15" t="str">
        <f>IFERROR(D280*K277,"")</f>
        <v/>
      </c>
    </row>
    <row r="278" spans="2:12" ht="11.1" customHeight="1">
      <c r="B278" s="31" t="s">
        <v>45</v>
      </c>
      <c r="C278" s="71" t="s">
        <v>6</v>
      </c>
      <c r="D278" s="74" t="s">
        <v>41</v>
      </c>
      <c r="F278" s="24">
        <v>2</v>
      </c>
      <c r="G278" s="17" t="str">
        <f>IF(OR(D277=0,D281="　"),"","アンカー工場加工")</f>
        <v/>
      </c>
      <c r="H278" s="29"/>
      <c r="I278" s="46" t="str">
        <f>IF(OR(D277=0,D281="　"),"","L=テンドン長")</f>
        <v/>
      </c>
      <c r="J278" s="16" t="str">
        <f>IF(OR(D277=0,D281="　"),"","m")</f>
        <v/>
      </c>
      <c r="K278" s="30" t="str">
        <f>IF(OR(D277=0,D281="　"),"",MROUND(D294,0.1))</f>
        <v/>
      </c>
      <c r="L278" s="67" t="str">
        <f>IFERROR(D280*K278,"")</f>
        <v/>
      </c>
    </row>
    <row r="279" spans="2:12" ht="11.1" customHeight="1">
      <c r="B279" s="34" t="s">
        <v>7</v>
      </c>
      <c r="C279" s="49" t="s">
        <v>6</v>
      </c>
      <c r="D279" s="2" t="s">
        <v>34</v>
      </c>
      <c r="F279" s="24">
        <v>3</v>
      </c>
      <c r="G279" s="17" t="str">
        <f>IF(OR(D277=0,D281="　",1*MID(D284,1,2)=1,1*MID(D284,1,2)&gt;=5),"","頭部キャップ")</f>
        <v/>
      </c>
      <c r="H279" s="29" t="str" cm="1">
        <f t="array" ref="H279">IF(OR(D277=0,D281="　",1*MID(D284,1,2)=1,1*MID(D284,1,2)&gt;=5),"",IF(MID(D281,4,1)="5",_xlfn.SWITCH(1*MID(D281,6,FIND("H",D281,6)-6),1,"S",2,"S",3,"S",4,"S",5,"M",6,"M",7,"M",8,"L",9,"L",10,"L",11,"L",12,"L"),_xlfn.SWITCH(1*MID(D281,6,FIND("H",D281,6)-6),1,"S",2,"S",3,"M",4,"M",5,"L",6,"L",7,"L",8,"LL",9,"LL",10,"LL",11,"LL",12,"LL",13,"LL",14,"LL",15,"3L",16,"3L",17,"3L",18,"3L",19,"3L"))&amp;"型"&amp;MID(D282,IF(MID(D282,1,1)="G",4,1),10)&amp;IF(OR(MID(D282,1,2)="透明",MID(D282,1,2)="5窓"),"、PC樹脂","")&amp;IF(MID(D282,4,2)="鋼製","、SS400相当、HDZT77めっき","、ｱﾙﾐAC4C相当"))&amp;_xlfn.IFS(OR(D277=0,D281="　",MID(D279,1,3)="防食Ⅱ"),"",MID(D279,5,2)="塩害","、ﾀｹｺｰﾄ処理",MID(D279,5,2)="酸性","、重防食処理")</f>
        <v/>
      </c>
      <c r="I279" s="52" t="str">
        <f>IF(OR(D277=0,D281="　",1*MID(D284,1,2)=1,1*MID(D284,1,2)&gt;=5),"","n=1")</f>
        <v/>
      </c>
      <c r="J279" s="16" t="str">
        <f>IF(OR(D277=0,D281="　",1*MID(D284,1,2)=1,1*MID(D284,1,2)&gt;=5),"","個")</f>
        <v/>
      </c>
      <c r="K279" s="32" t="str">
        <f>IF(OR(D277=0,D281="　",1*MID(D284,1,2)=1,1*MID(D284,1,2)&gt;=5),"",1)</f>
        <v/>
      </c>
      <c r="L279" s="68" t="str">
        <f>IFERROR(D280*K279,"")</f>
        <v/>
      </c>
    </row>
    <row r="280" spans="2:12" ht="11.1" customHeight="1">
      <c r="B280" s="31" t="s">
        <v>27</v>
      </c>
      <c r="C280" s="10" t="s">
        <v>5</v>
      </c>
      <c r="D280" s="75">
        <v>10</v>
      </c>
      <c r="F280" s="24">
        <v>4</v>
      </c>
      <c r="G280" s="17" t="str">
        <f>IF(OR(D277=0,D281="　",1*MID(D284,1,2)=1,1*MID(D284,1,2)&gt;=5),"","アンカーヘッド")</f>
        <v/>
      </c>
      <c r="H280" s="29" t="str" cm="1">
        <f t="array" ref="H280">IF(OR(D277=0,D281="　",1*MID(D284,1,2)=1,1*MID(D284,1,2)&gt;=5),"",IF(MID(D281,4,1)="5","G5"&amp;_xlfn.SWITCH(1*MID(D281,6,FIND("H",D281,6)-6),1,"01",2,"02",3,"03",4,"04",5,"07",6,"07",7,"07",8,"09",9,"09",10,"12",11,"12",12,"12"),"G6"&amp;_xlfn.SWITCH(1*MID(D281,6,FIND("H",D281,6)-6),1,"01",2,"02",3,"03",4,"04",5,"07",6,"07",7,"07",8,"09",9,"09",10,"12",11,"12",12,"12",13,"14",14,"14",15,"19",16,"19",17,"19",18,"19",19,"19"))&amp;"、S45C相当")&amp;IF(OR(D277=0,D281="　",MID(D282,1,3)="ｱﾙﾐ",1*MID(D284,1,2)=1,1*MID(D284,1,2)&gt;=5),"","、無電解Niめっき")</f>
        <v/>
      </c>
      <c r="I280" s="52" t="str">
        <f>IF(OR(D277=0,D281="　",1*MID(D284,1,2)=1,1*MID(D284,1,2)&gt;=5),"","n=1")</f>
        <v/>
      </c>
      <c r="J280" s="16" t="str">
        <f>IF(OR(D277=0,D281="　",1*MID(D284,1,2)=1,1*MID(D284,1,2)&gt;=5),"","個")</f>
        <v/>
      </c>
      <c r="K280" s="32" t="str">
        <f>IF(OR(D277=0,D281="　",1*MID(D284,1,2)=1,1*MID(D284,1,2)&gt;=5),"",1)</f>
        <v/>
      </c>
      <c r="L280" s="68" t="str">
        <f>IFERROR(D280*K280,"")</f>
        <v/>
      </c>
    </row>
    <row r="281" spans="2:12" ht="11.1" customHeight="1">
      <c r="B281" s="33" t="s">
        <v>28</v>
      </c>
      <c r="C281" s="71" t="s">
        <v>6</v>
      </c>
      <c r="D281" s="7" t="s">
        <v>0</v>
      </c>
      <c r="F281" s="24">
        <v>5</v>
      </c>
      <c r="G281" s="17" t="str">
        <f>IF(OR(D277=0,D281="　",1*MID(D284,1,2)=1,1*MID(D284,1,2)&gt;=5),"","ナット")</f>
        <v/>
      </c>
      <c r="H281" s="29" t="str" cm="1">
        <f t="array" ref="H281">IF(OR(D277=0,D281="　",1*MID(D284,1,2)=1,1*MID(D284,1,2)&gt;=5),"",IF(MID(D281,4,1)="5","G5"&amp;_xlfn.SWITCH(1*MID(D281,6,FIND("H",D281,6)-6),1,"01",2,"02",3,"03",4,"04",5,"07",6,"07",7,"07",8,"09",9,"09",10,"12",11,"12",12,"12"),"G6"&amp;_xlfn.SWITCH(1*MID(D281,6,FIND("H",D281,6)-6),1,"01",2,"02",3,"03",4,"04",5,"07",6,"07",7,"07",8,"09",9,"09",10,"12",11,"12",12,"12",13,"14",14,"14",15,"19",16,"19",17,"19",18,"19",19,"19"))&amp;"、S45C相当")&amp;IF(OR(D277=0,D281="　",MID(D282,1,3)="ｱﾙﾐ",1*MID(D284,1,2)=1,1*MID(D284,1,2)&gt;=5),"","、無電解Niめっき")</f>
        <v/>
      </c>
      <c r="I281" s="52" t="str">
        <f>IF(OR(D277=0,D281="　",1*MID(D284,1,2)=1,1*MID(D284,1,2)&gt;=5),"","n=1")</f>
        <v/>
      </c>
      <c r="J281" s="16" t="str">
        <f>IF(OR(D277=0,D281="　",1*MID(D284,1,2)=1,1*MID(D284,1,2)&gt;=5),"","個")</f>
        <v/>
      </c>
      <c r="K281" s="32" t="str">
        <f>IF(OR(D277=0,D281="　",1*MID(D284,1,2)=1,1*MID(D284,1,2)&gt;=5),"",1)</f>
        <v/>
      </c>
      <c r="L281" s="68" t="str">
        <f>IFERROR(D280*K281,"")</f>
        <v/>
      </c>
    </row>
    <row r="282" spans="2:12" ht="11.1" customHeight="1">
      <c r="B282" s="35" t="s">
        <v>29</v>
      </c>
      <c r="C282" s="49" t="s">
        <v>6</v>
      </c>
      <c r="D282" s="2" t="s">
        <v>35</v>
      </c>
      <c r="F282" s="24">
        <v>6</v>
      </c>
      <c r="G282" s="17" t="str">
        <f>IF(OR(D277=0,D281="　",1*MID(D284,1,2)=1,1*MID(D284,1,2)&gt;=5),"","くさび")</f>
        <v/>
      </c>
      <c r="H282" s="29" t="str">
        <f>IF(OR(D277=0,D281="　",1*MID(D284,1,2)=1,1*MID(D284,1,2)&gt;=5),"",IF(1*MID(D281,4,1)=5,"ECF12.7","ECF15.2")&amp;"、SCM415相当")&amp;IF(OR(D277=0,D281="　",MID(D282,1,3)="ｱﾙﾐ",1*MID(D284,1,2)=1,1*MID(D284,1,2)&gt;=5),"","、無電解Niめっき")</f>
        <v/>
      </c>
      <c r="I282" s="52" t="str">
        <f>IF(OR(D277=0,D281="　",1*MID(D284,1,2)=1,1*MID(D284,1,2)&gt;=5),"","n=1")</f>
        <v/>
      </c>
      <c r="J282" s="16" t="str">
        <f>IF(OR(D277=0,D281="　",1*MID(D284,1,2)=1,1*MID(D284,1,2)&gt;=5),"","式")</f>
        <v/>
      </c>
      <c r="K282" s="32" t="str">
        <f>IF(OR(D277=0,D281="　",1*MID(D284,1,2)=1,1*MID(D284,1,2)&gt;=5),"",1)</f>
        <v/>
      </c>
      <c r="L282" s="68" t="str">
        <f>IFERROR(D280*K282,"")</f>
        <v/>
      </c>
    </row>
    <row r="283" spans="2:12" ht="11.1" customHeight="1">
      <c r="B283" s="35" t="s">
        <v>8</v>
      </c>
      <c r="C283" s="49" t="s">
        <v>6</v>
      </c>
      <c r="D283" s="2" t="s">
        <v>36</v>
      </c>
      <c r="F283" s="24">
        <v>7</v>
      </c>
      <c r="G283" s="17" t="str">
        <f>IF(OR(D277=0,D281="　",1*MID(D284,1,2)=1,1*MID(D284,1,2)&gt;=5),"","押え板")</f>
        <v/>
      </c>
      <c r="H283" s="29" t="str" cm="1">
        <f t="array" ref="H283">IF(OR(D277=0,D281="　",1*MID(D284,1,2)=1,1*MID(D284,1,2)&gt;=5),"",IF(MID(D281,4,1)="5","G5"&amp;_xlfn.SWITCH(1*MID(D281,6,FIND("H",D281,6)-6),1,"01",2,"04",3,"03",4,"04",5,"07",6,"07",7,"07",8,"12",9,"12",10,"12",11,"12",12,"12"),"G6"&amp;_xlfn.SWITCH(1*MID(D281,6,FIND("H",D281,6)-6),1,"01",2,"02",3,"03",4,"04",5,"07",6,"07",7,"07",8,"12",9,"12",10,"12",11,"12",12,"12",13,"14",14,"14",15,"19",16,"19",17,"19",18,"19",19,"19"))&amp;"、SS400相当")&amp;IF(OR(D277=0,D281="　",1*MID(D284,1,2)=1,1*MID(D284,1,2)&gt;=5),"","、"&amp;_xlfn.IFS(MID(D279,1,3)="防食Ⅱ","HDZT77めっき",MID(D279,5,2)="塩害","ｱﾙﾐﾅｲｽﾞ処理",MID(D279,5,2)="酸性","重防食処理"))</f>
        <v/>
      </c>
      <c r="I283" s="52" t="str">
        <f>IF(OR(D277=0,D281="　",1*MID(D284,1,2)=1,1*MID(D284,1,2)&gt;=5),"","n=1")</f>
        <v/>
      </c>
      <c r="J283" s="16" t="str">
        <f>IF(OR(D277=0,D281="　",1*MID(D284,1,2)=1,1*MID(D284,1,2)&gt;=5),"","枚")</f>
        <v/>
      </c>
      <c r="K283" s="32" t="str">
        <f>IF(OR(D277=0,D281="　",1*MID(D284,1,2)=1,1*MID(D284,1,2)&gt;=5),"",1)</f>
        <v/>
      </c>
      <c r="L283" s="68" t="str">
        <f>IFERROR(D280*K283,"")</f>
        <v/>
      </c>
    </row>
    <row r="284" spans="2:12" ht="11.1" customHeight="1">
      <c r="B284" s="36" t="s">
        <v>87</v>
      </c>
      <c r="C284" s="72" t="s">
        <v>6</v>
      </c>
      <c r="D284" s="8" t="s">
        <v>42</v>
      </c>
      <c r="F284" s="24">
        <v>8</v>
      </c>
      <c r="G284" s="17" t="str">
        <f>IF(OR(D277=0,D281="　"),"",IF(OR(1*MID(D284,1,2)=1,1*MID(D284,1,2)&gt;=5,MID(D283,1,3)&lt;&gt;"のり面"),"","管付")&amp;"支圧板")</f>
        <v/>
      </c>
      <c r="H284" s="29" t="str" cm="1">
        <f t="array" ref="H284">IF(OR(D277=0,D281="　"),"","PL"&amp;IF(OR(1*MID(D284,1,2)=1,1*MID(D284,1,2)&gt;=5,MID(D283,1,3)&lt;&gt;"のり面"),"","P")&amp;IF(MID(D281,4,1)="5","5-"&amp;_xlfn.SWITCH(1*MID(D281,6,FIND("H",D281,6)-6),1,"1",2,"2",3,"3",4,"4",5,"5",6,"6",7,"7",8,"9",9,"9",10,"10",11,"11",12,"12"),"6-"&amp;_xlfn.SWITCH(1*MID(D281,6,FIND("H",D281,6)-6),1,"1",2,"2",3,"3",4,"4",5,"6",6,"6",7,"7",8,"8",9,"9",10,"10",11,"11",12,"12",13,"14",14,"14",15,"16",16,"16",17,"17",18,"18",19,"19"))&amp;"、SS400相当")&amp;IF(OR(D277=0,D281="　"),"","、"&amp;_xlfn.IFS(MID(D279,1,3)="防食Ⅱ","HDZT77めっき",MID(D279,5,2)="塩害","ｱﾙﾐﾅｲｽﾞ処理",MID(D279,5,2)="酸性","重防食処理"))</f>
        <v/>
      </c>
      <c r="I284" s="52" t="str">
        <f>IF(OR(D277=0,D281="　"),"","n=1")</f>
        <v/>
      </c>
      <c r="J284" s="16" t="str">
        <f>IF(OR(D277=0,D281="　"),"","枚")</f>
        <v/>
      </c>
      <c r="K284" s="32" t="str">
        <f>IF(OR(D277=0,D281="　"),"",1)</f>
        <v/>
      </c>
      <c r="L284" s="68" t="str">
        <f>IFERROR(D280*K284,"")</f>
        <v/>
      </c>
    </row>
    <row r="285" spans="2:12" ht="11.1" customHeight="1">
      <c r="B285" s="37" t="str" cm="1">
        <f t="array" ref="B285">"頭部自由長"&amp;_xlfn.IFS(MID(D283,1,2)="なし","",MID(D283,1,3)="受圧体","(受圧体)",MID(D283,1,3)="のり面","(角度台座＋受圧体)",MID(D283,1,3)="構造物","(壁面台座)",MID(D283,1,3)="土留め","(台座+腹起し)",MID(D283,1,3)="個別台","(個別台座+腹起し)")&amp;"　Lfh"</f>
        <v>頭部自由長(角度台座＋受圧体)　Lfh</v>
      </c>
      <c r="C285" s="9" t="s">
        <v>10</v>
      </c>
      <c r="D285" s="75">
        <v>0.5</v>
      </c>
      <c r="F285" s="24">
        <v>9</v>
      </c>
      <c r="G285" s="17" t="str">
        <f>IF(OR(D277=0,D281="　",1*MID(D284,1,2)=1,1*MID(D284,1,2)&gt;=5),"","止水ゴム")</f>
        <v/>
      </c>
      <c r="H285" s="29" t="str">
        <f>IF(OR(D277=0,D281="　",1*MID(D284,1,2)=1,1*MID(D284,1,2)&gt;=5),"","G"&amp;MID(D281,4,4)&amp;"、NBR45相当")</f>
        <v/>
      </c>
      <c r="I285" s="52" t="str">
        <f>IF(OR(D277=0,D281="　",1*MID(D284,1,2)=1,1*MID(D284,1,2)&gt;=5),"","n=1")</f>
        <v/>
      </c>
      <c r="J285" s="16" t="str">
        <f>IF(OR(D277=0,D281="　",1*MID(D284,1,2)=1,1*MID(D284,1,2)&gt;=5),"","個")</f>
        <v/>
      </c>
      <c r="K285" s="32" t="str">
        <f>IF(OR(D277=0,D281="　",1*MID(D284,1,2)=1,1*MID(D284,1,2)&gt;=5),"",1)</f>
        <v/>
      </c>
      <c r="L285" s="68" t="str">
        <f>IFERROR(D280*K285,"")</f>
        <v/>
      </c>
    </row>
    <row r="286" spans="2:12" ht="11.1" customHeight="1">
      <c r="B286" s="31" t="s">
        <v>11</v>
      </c>
      <c r="C286" s="10" t="s">
        <v>10</v>
      </c>
      <c r="D286" s="75">
        <v>8.5</v>
      </c>
      <c r="F286" s="24">
        <v>10</v>
      </c>
      <c r="G286" s="17" t="str" cm="1">
        <f t="array" ref="G286">IF(OR(D277=0,D281="　",1*MID(D284,1,2)=1,1*MID(D284,1,2)&gt;=5),"",_xlfn.IFS(MID(D282,1,3)="ｱﾙﾐ","頭部防錆油",MID(D282,1,3)&lt;&gt;"ｱﾙﾐ","余長キャップ"))</f>
        <v/>
      </c>
      <c r="H286" s="29" t="str" cm="1">
        <f t="array" ref="H286">_xlfn.IFS(OR(D277=0,D281="　",1*MID(D284,1,2)=1,1*MID(D284,1,2)&gt;=5),"",MID(D282,1,3)="ｱﾙﾐ","PCコートC",MID(D282,1,3)&lt;&gt;"ｱﾙﾐ","TC"&amp;MID(D281,4,1)&amp;"、高密度ポリエチレン")</f>
        <v/>
      </c>
      <c r="I286" s="52" t="str" cm="1">
        <f t="array" ref="I286">_xlfn.IFS(OR(D277=0,D281="　",1*MID(D284,1,2)=1,1*MID(D284,1,2)&gt;=5),"",MID(D282,1,3)="ｱﾙﾐ","W="&amp;IF(MID(D281,4,1)="5",_xlfn.SWITCH(1*MID(LEFT(D281, LEN(D281)-1),6,2),1,1.9,2,1.3,3,1.3,4,1.3,5,1.6,6,1.6,7,1.6,8,3.1,9,3.1,10,3.1,11,3.1,12,3.1),"G6"&amp;_xlfn.SWITCH(1*MID(LEFT(D281, LEN(D281)-1),6,2),1,1.8,2,1.3,3,1.8,4,1.8,5,3.3,6,3.3,7,3.3,8,9.9,9,9.9,10,9.9,11,9.9,12,9.9,13,9.9,14,9.9)),MID(D282,1,3)&lt;&gt;"ｱﾙﾐ","n=1")</f>
        <v/>
      </c>
      <c r="J286" s="16" t="str" cm="1">
        <f t="array" ref="J286">_xlfn.IFS(OR(D277=0,D281="　",1*MID(D284,1,2)=1,1*MID(D284,1,2)&gt;=5),"",MID(D282,1,3)="ｱﾙﾐ","kg",MID(D282,1,3)&lt;&gt;"ｱﾙﾐ","式")</f>
        <v/>
      </c>
      <c r="K286" s="80" t="str" cm="1">
        <f t="array" ref="K286">_xlfn.IFS(OR(D277=0,D281="　",1*MID(D284,1,2)=1,1*MID(D284,1,2)&gt;=5),"",MID(D282,1,3)="ｱﾙﾐ",_xlfn.SWITCH(MID(D281,4,1),"5",_xlfn.SWITCH(1*MID(D281,6,FIND("H",D281,6)-6),1,1.9,2,1.3,3,1.3,4,1.3,5,1.6,6,1.6,7,1.6,8,3.1,9,3.1,10,3.1,11,3.1,12,3.1),"6",_xlfn.SWITCH(1*MID(D281,6,FIND("H",D281,6)-6),1,1.8,2,1.3,3,1.8,4,1.8,5,3.3,6,3.3,7,3.3,8,9.9,9,9.9,10,9.9,11,9.9,12,9.9,13,9.9,14,9.9)),MID(D282,1,3)&lt;&gt;"ｱﾙﾐ",1)</f>
        <v/>
      </c>
      <c r="L286" s="68" t="str">
        <f>IFERROR(D280*K286,"")</f>
        <v/>
      </c>
    </row>
    <row r="287" spans="2:12" ht="11.1" customHeight="1">
      <c r="B287" s="39" t="s">
        <v>18</v>
      </c>
      <c r="C287" s="40" t="s">
        <v>10</v>
      </c>
      <c r="D287" s="75">
        <v>7</v>
      </c>
      <c r="F287" s="24">
        <v>11</v>
      </c>
      <c r="G287" s="17" t="str">
        <f>IF(OR(D277=0,D281="　",1*MID(D284,1,2)=1,1*MID(D284,1,2)&gt;=5),"","配列スペーサ")</f>
        <v/>
      </c>
      <c r="H287" s="29" t="str">
        <f>IF(OR(D277=0,D281="　",1*MID(D284,1,2)=1,1*MID(D284,1,2)&gt;=5),"",IF(MID(D281,4,1)="5","PS5-"&amp;_xlfn.SWITCH(1*MID(D281,6,FIND("H",D281,6)-6),1,"7",2,"2",3,"3",4,"4",5,"7",6,"7",7,"7",8,"12",9,"12",10,"12",11,"12",12,"12"),"PS6-"&amp;_xlfn.SWITCH(1*MID(D281,6,FIND("H",D281,6)-6),1,"7",2,"2",3,"3",4,"4",5,"7",6,"7",7,"7",8,"12",9,"12",10,"12",11,"12",12,"12",13,"14",14,"14",15,"19",16,"19",17,"19",18,"19",19,"19"))&amp;"、ポリエチレン")</f>
        <v/>
      </c>
      <c r="I287" s="52" t="str">
        <f>IF(OR(D277=0,D281="　",1*MID(D284,1,2)=1,1*MID(D284,1,2)&gt;=5),"","n=2")</f>
        <v/>
      </c>
      <c r="J287" s="16" t="str">
        <f>IF(OR(D277=0,D281="　",1*MID(D284,1,2)=1,1*MID(D284,1,2)&gt;=5),"","個")</f>
        <v/>
      </c>
      <c r="K287" s="32" t="str">
        <f>IF(OR(D277=0,D281="　",1*MID(D284,1,2)=1,1*MID(D284,1,2)&gt;=5),"",2)</f>
        <v/>
      </c>
      <c r="L287" s="68" t="str">
        <f>IFERROR(D280*K287,"")</f>
        <v/>
      </c>
    </row>
    <row r="288" spans="2:12" ht="11.1" customHeight="1">
      <c r="B288" s="36" t="s">
        <v>17</v>
      </c>
      <c r="C288" s="11" t="s">
        <v>16</v>
      </c>
      <c r="D288" s="54">
        <v>90</v>
      </c>
      <c r="F288" s="24">
        <v>12</v>
      </c>
      <c r="G288" s="17" t="str">
        <f>IF(OR(D277=0,D281="　"),"","スペーサ")</f>
        <v/>
      </c>
      <c r="H288" s="29" t="str" cm="1">
        <f t="array" ref="H288">IF(OR(D277=0,D281="　"),"",IF(MID(D281,4,1)="5","S5-"&amp;_xlfn.IFS(1*MID(D281,6,FIND("H",D281,6)-6)&lt;6,"5",1*MID(D281,6,FIND("H",D281,6)-6)&lt;9,"8",1*MID(D281,6,FIND("H",D281,6)-6)&gt;8,"12"),"S6-"&amp;_xlfn.IFS(1*MID(D281,6,FIND("H",D281,6)-6)&lt;4,"3",1*MID(D281,6,FIND("H",D281,6)-6)&lt;7,"6",1*MID(D281,6,FIND("H",D281,6)-6)&lt;10,"9",1*MID(D281,6,FIND("H",D281,6)-6)&lt;13,"12",1*MID(D281,6,FIND("H",D281,6)-6)&lt;15,"14",1*MID(D281,6,FIND("H",D281,6)-6)&lt;20,"19"))&amp;"、ポリプロピレン")</f>
        <v/>
      </c>
      <c r="I288" s="58" t="str">
        <f>IF(OR(D277=0,D281="　"),"","n=mround(アンカー体長－0.4)÷@1.0m, 1.0)")</f>
        <v/>
      </c>
      <c r="J288" s="16" t="str">
        <f>IF(OR(D277=0,D281="　"),"","個")</f>
        <v/>
      </c>
      <c r="K288" s="38" t="str">
        <f>IF(OR(D277=0,D281="　"),"",MROUND((D287-0.4)/1,1))</f>
        <v/>
      </c>
      <c r="L288" s="67" t="str">
        <f>IFERROR(D280*K288,"")</f>
        <v/>
      </c>
    </row>
    <row r="289" spans="2:12" ht="11.1" customHeight="1">
      <c r="B289" s="41" t="s">
        <v>37</v>
      </c>
      <c r="C289" s="5" t="s">
        <v>16</v>
      </c>
      <c r="D289" s="66" t="str" cm="1">
        <f t="array" ref="D289">IF(OR(D277=0,D281="　"),"",_xlfn.SWITCH(1*MID(D284,1,2),0,_xlfn.SWITCH(1*MID(D281,4,1),5,_xlfn.SWITCH(1*MID(LEFT(D281, LEN(D281)-1),6,2),1,90,2,90,3,90,4,90,5,90,6,115,7,115,8,115,9,135,10,135,11,135,12,135),6,_xlfn.SWITCH(1*MID(LEFT(D281, LEN(D281)-1),6,2),1,90,2,90,3,90,4,115,5,115,6,115,7,135,8,135,9,135,10,146,11,146,12,146,13,165,14,165)),1,_xlfn.SWITCH(1*MID(D281,4,1),5,_xlfn.SWITCH(1*MID(LEFT(D281, LEN(D281)-1),6,2),1,90,2,90,3,90,4,90,5,115,6,115,7,135,8,135,9,135,10,135,11,165,12,165),6,_xlfn.SWITCH(1*MID(LEFT(D281, LEN(D281)-1),6,2),1,90,2,90,3,115,4,115,5,135,6,135,7,135,8,135,9,135,10,165,11,165,12,165,13,165,14,165)),2,_xlfn.SWITCH(1*MID(D281,4,1),5,_xlfn.SWITCH(1*MID(LEFT(D281, LEN(D281)-1),6,2),1,90,2,90,3,115,4,115,5,115,6,115,7,135,8,135,9,146,10,146,11,146,12,146),6,_xlfn.SWITCH(1*MID(LEFT(D281, LEN(D281)-1),6,2),1,90,2,90,3,115,4,115,5,135,6,135,7,146,8,146,9,146,10,165,11,165,12,165,13,216,14,216)),3,_xlfn.SWITCH(1*MID(D281,4,1),5,_xlfn.SWITCH(1*MID(LEFT(D281, LEN(D281)-1),6,2),1,115,2,115,3,115,4,115,5,115,6,135,7,135,8,135,9,146,10,146,11,146,12,146),6,_xlfn.SWITCH(1*MID(LEFT(D281, LEN(D281)-1),6,2),1,115,2,115,3,115,4,135,5,135,6,135,7,146,8,146,9,146,10,165,11,165,12,165,13,216,14,216)),4,_xlfn.SWITCH(1*MID(D281,4,1),5,_xlfn.SWITCH(1*MID(LEFT(D281, LEN(D281)-1),6,2),1,115,2,115,3,115,4,115,5,115,6,135,7,135,8,135,9,146,10,146,11,146,12,146),6,_xlfn.SWITCH(1*MID(LEFT(D281, LEN(D281)-1),6,2),1,115,2,115,3,115,4,135,5,135,6,135,7,146,8,146,9,146,10,165,11,165,12,165,13,216,14,216)),5,_xlfn.SWITCH(1*MID(D281,4,1),5,_xlfn.SWITCH(1*MID(LEFT(D281, LEN(D281)-1),6,2),1,90,2,90,3,115,4,115,5,115,6,115,7,135,8,135,9,165,10,165,11,165,12,165),6,_xlfn.SWITCH(1*MID(LEFT(D281, LEN(D281)-1),6,2),1,90,2,90,3,115,4,115,5,135,6,135,7,165,8,165,9,165,10,165,11,165,12,165,13,216,14,216)),6,_xlfn.SWITCH(1*MID(D281,4,1),5,_xlfn.SWITCH(1*MID(LEFT(D281, LEN(D281)-1),6,2),1,115,2,115,3,115,4,115,5,115,6,135,7,135,8,135,9,165,10,165,11,165,12,165),6,_xlfn.SWITCH(1*MID(LEFT(D281, LEN(D281)-1),6,2),1,115,2,115,3,115,4,135,5,135,6,135,7,165,8,165,9,165,10,165,11,165,12,165,13,216,14,216)),7,_xlfn.SWITCH(1*MID(D281,4,1),5,_xlfn.SWITCH(1*MID(LEFT(D281, LEN(D281)-1),6,2),1,115,2,115,3,115,4,115,5,115,6,135,7,135,8,135,9,165,10,165,11,165,12,165),6,_xlfn.SWITCH(1*MID(LEFT(D281, LEN(D281)-1),6,2),1,115,2,115,3,115,4,135,5,135,6,135,7,165,8,165,9,165,10,165,11,165,12,165,13,216,14,216))))</f>
        <v/>
      </c>
      <c r="F289" s="24">
        <v>13</v>
      </c>
      <c r="G289" s="17" t="str">
        <f>IF(OR(D277=0,D281="　"),"","ﾊﾟｲﾛｯﾄｷｬｯﾌﾟ")</f>
        <v/>
      </c>
      <c r="H289" s="29" t="str" cm="1">
        <f t="array" ref="H289">IF(OR(D277=0,D281="　"),"",IF(MID(D281,4,1)="5","PC5-"&amp;_xlfn.IFS(1*MID(D281,6,FIND("H",D281,6)-6)&lt;5,"4",1*MID(D281,6,FIND("H",D281,6)-6)&lt;8,"7",1*MID(D281,6,FIND("H",D281,6)-6)&lt;10,"9",1*MID(D281,6,FIND("H",D281,6)-6)&gt;9,"12"),"PC6-"&amp;_xlfn.IFS(1*MID(D281,6,FIND("H",D281,6)-6)&lt;4,"3",1*MID(D281,6,FIND("H",D281,6)-6)&lt;8,"7",1*MID(D281,6,FIND("H",D281,6)-6)&lt;13,"12",1*MID(D281,6,FIND("H",D281,6)-6)&lt;15,"14",1*MID(D281,6,FIND("H",D281,6)-6)&lt;20,"19"))&amp;"、ポリプロピレン")</f>
        <v/>
      </c>
      <c r="I289" s="52" t="str">
        <f>IF(OR(D277=0,D281="　"),"","n=1")</f>
        <v/>
      </c>
      <c r="J289" s="16" t="str">
        <f>IF(OR(D277=0,D281="　"),"","個")</f>
        <v/>
      </c>
      <c r="K289" s="32" t="str">
        <f>IF(OR(D277=0,D281="　"),"",1)</f>
        <v/>
      </c>
      <c r="L289" s="68" t="str">
        <f>IFERROR(D280*K289,"")</f>
        <v/>
      </c>
    </row>
    <row r="290" spans="2:12" ht="11.1" customHeight="1">
      <c r="B290" s="43" t="s">
        <v>30</v>
      </c>
      <c r="C290" s="44" t="s">
        <v>31</v>
      </c>
      <c r="D290" s="59" t="str">
        <f>IF(OR(D277=0,D281="　"),"",IF(D288=D289,"OK","CHECK"))</f>
        <v/>
      </c>
      <c r="F290" s="24">
        <v>14</v>
      </c>
      <c r="G290" s="17" t="str">
        <f>IF(OR(D277=0,D281="　"),"","結束バンド")</f>
        <v/>
      </c>
      <c r="H290" s="29" t="str">
        <f>IF(OR(D277=0,D281="　"),"","66ナイロン")</f>
        <v/>
      </c>
      <c r="I290" s="58" t="str">
        <f>IF(OR(D277=0,D281="　"),"","n=スペーサ数×2")</f>
        <v/>
      </c>
      <c r="J290" s="16" t="str">
        <f>IF(OR(D277=0,D281="　"),"","本")</f>
        <v/>
      </c>
      <c r="K290" s="38" t="str">
        <f>IF(OR(D277=0,D281="　"),"",2*K288)</f>
        <v/>
      </c>
      <c r="L290" s="67" t="str">
        <f>IFERROR(D280*K290,"")</f>
        <v/>
      </c>
    </row>
    <row r="291" spans="2:12" ht="11.1" customHeight="1">
      <c r="B291" s="45" t="s">
        <v>12</v>
      </c>
      <c r="C291" s="9" t="s">
        <v>10</v>
      </c>
      <c r="D291" s="60" t="str">
        <f>IF(OR(D277=0,D281="　"),"──",SUM(D285:D286))</f>
        <v>──</v>
      </c>
      <c r="F291" s="24">
        <v>15</v>
      </c>
      <c r="G291" s="17" t="str">
        <f>IF(OR(D277=0,D281="　"),"","結束テープ")</f>
        <v/>
      </c>
      <c r="H291" s="29" t="str">
        <f>IF(OR(D277=0,D281="　"),"","フィラメントテープ")</f>
        <v/>
      </c>
      <c r="I291" s="58" t="str">
        <f>IF(OR(D277=0,D281="　"),"","L=(自由長+緊張部長)÷@1.0m×テープ係数"&amp;IF(MID(D281,4,1)="5",_xlfn.IFS(1*MID(LEFT(D281, LEN(D281)-1),6,2)&lt;4,"0.8",1*MID(LEFT(D281, LEN(D281)-1),6,2)&lt;7,"1.0",1*MID(LEFT(D281, LEN(D281)-1),6,2)&lt;10,"1.2",1*MID(LEFT(D281, LEN(D281)-1),6,2)&lt;13,"1.4"),_xlfn.IFS(1*MID(LEFT(D281, LEN(D281)-1),6,2)&lt;4,"1.0",1*MID(LEFT(D281, LEN(D281)-1),6,2)&lt;7,"1.2",1*MID(LEFT(D281, LEN(D281)-1),6,2)&lt;10,"1.4",1*MID(LEFT(D281, LEN(D281)-1),6,2)&lt;15,"1.8")))</f>
        <v/>
      </c>
      <c r="J291" s="16" t="str">
        <f>IF(OR(D277=0,D281="　"),"","m")</f>
        <v/>
      </c>
      <c r="K291" s="42" t="str" cm="1">
        <f t="array" ref="K291">IF(OR(D277=0,D281="　"),"",MROUND((SUM(D291,D292))/1*IF(MID(D281,4,1)="5",_xlfn.SWITCH(1*MID(D281,6,FIND("H",D281,6)-6),1,0.8,2,0.8,3,0.8,4,1,5,1,6,1,7,1.2,8,1.2,9,1.2,10,1.4,11,1.4,12,1.4),_xlfn.SWITCH(1*MID(D281,6,FIND("H",D281,6)-6),1,1,2,1,3,1,4,1.2,5,1.2,6,1.2,7,1.4,8,1.4,9,1.4,10,1.8,11,1.8,12,1.8,13,1.8,14,1.8,15,2.5,16,2.5,17,2.5,18,2.5,19,2.5)),0.1))</f>
        <v/>
      </c>
      <c r="L291" s="69" t="str">
        <f>IFERROR(D280*K291,"")</f>
        <v/>
      </c>
    </row>
    <row r="292" spans="2:12" ht="11.1" customHeight="1">
      <c r="B292" s="47" t="s">
        <v>13</v>
      </c>
      <c r="C292" s="10" t="s">
        <v>10</v>
      </c>
      <c r="D292" s="61" t="str" cm="1">
        <f t="array" ref="D292">IF(OR(D277=0,D281="　"),"──",IF(MID(D281,4,1)="5",_xlfn.IFS(1*MID(LEFT(D281,LEN(D281)-1),6,2)&lt;8,1,1*MID(LEFT(D281,LEN(D281)-1),6,2)&lt;13,1.2),_xlfn.IFS(1*MID(LEFT(D281,LEN(D281)-1),6,2)&lt;6,1,1*MID(LEFT(D281,LEN(D281)-1),6,2)&lt;15,1.2)))</f>
        <v>──</v>
      </c>
      <c r="F292" s="24">
        <v>16</v>
      </c>
      <c r="G292" s="17" t="str">
        <f>IF(OR(D277=0,D281="　",1*MID(D284,1,2)=1,1*MID(D284,1,2)=5),"","注入ホース")</f>
        <v/>
      </c>
      <c r="H292" s="29" t="str">
        <f>IF(OR(D277=0,D281="　",1*MID(D284,1,2)=1,1*MID(D284,1,2)=5),"","φ16/20、高密度ポリエチレン")</f>
        <v/>
      </c>
      <c r="I292" s="46" t="str">
        <f>IF(OR(D277=0,D281="　",1*MID(D284,1,2)=1,1*MID(D284,1,2)=5),"","L=テンドン長")</f>
        <v/>
      </c>
      <c r="J292" s="16" t="str">
        <f>IF(OR(D277=0,D281="　",1*MID(D284,1,2)=1,1*MID(D284,1,2)=5),"","m")</f>
        <v/>
      </c>
      <c r="K292" s="30" t="str">
        <f>IF(OR(D277=0,D281="　",1*MID(D284,1,2)=1,1*MID(D284,1,2)=5),"",MROUND(D294,0.1))</f>
        <v/>
      </c>
      <c r="L292" s="67" t="str">
        <f>IFERROR(D280*K292,"")</f>
        <v/>
      </c>
    </row>
    <row r="293" spans="2:12" ht="11.1" customHeight="1">
      <c r="B293" s="48" t="s">
        <v>19</v>
      </c>
      <c r="C293" s="10" t="s">
        <v>14</v>
      </c>
      <c r="D293" s="62" t="str">
        <f>IF(OR(D277=0,D281="　"),"──",0.2)</f>
        <v>──</v>
      </c>
      <c r="F293" s="24">
        <v>17</v>
      </c>
      <c r="G293" s="17" t="str" cm="1">
        <f t="array" ref="G293">_xlfn.IFS(OR(D277=0,D281="　",MID(D283,1,2)="なし",MID(D283,1,3)="受圧体",1*MID(D284,1,2)=1,1*MID(D284,1,2)&gt;=5),"",MID(D283,1,3)="のり面","のり面角度台座",MID(D283,1,3)="構造物","構造物壁面台座",MID(D283,1,3)="土留め","土留め台座",MID(D283,1,3)="個別台","個別台座")</f>
        <v/>
      </c>
      <c r="H293" s="46" t="str" cm="1">
        <f t="array" ref="H293">IF(OR(D277=0,D281="　",G293=""),"",_xlfn.IFS(MID(D283,1,3)="のり面",IF(1*MID(D281,4,1)=5,_xlfn.IFS(1*MID(D281,6,FIND("H",D281,6)-6)&lt;5,"ST140",1*MID(D281,6,FIND("H",D281,6)-6)&lt;8,"ST170",1*MID(D281,6,FIND("H",D281,6)-6)&lt;13,"ST220"),_xlfn.IFS(1*MID(D281,6,FIND("H",D281,6)-6)&lt;4,"ST140",1*MID(D281,6,FIND("H",D281,6)-6)&lt;5,"ST170",1*MID(D281,6,FIND("H",D281,6)-6)&lt;8,"ST220",1*MID(D281,6,FIND("H",D281,6)-6)&lt;20,"非該当"))&amp;"、FCD450相当",OR(MID(D283,1,3)="構造物",MID(D283,1,3)="土留め",MID(D283,1,3)="個別台"),D281&amp;"用"&amp;_xlfn.IFS(MID(D283,1,3)="構造物","",MID(D283,1,3)="土留め",IF(1*MID(D281,4,1)=5,_xlfn.SWITCH(1*MID(D281,6,FIND("H",D281,6)-6),1,"DA110",2,"DA220",3,"DA330",4,"DA440",5,"DA550",6,"DA660",7,"DA770",8,"DA880",9,"DA990",10,"DA1100",11,"DA1210",12,"DA1320"),_xlfn.SWITCH(1*MID(D281,6,FIND("H",D281,6)-6),1,"DA220",2,"DA330",3,"DA550",4,"DA660",5,"DA880",6,"DA990",7,"DA1100",8,"DA1320",9,"DA1410",10,"DA1570",11,"DA1730",12,"DA1880",13,"DA2040",14,"DA2200")),MID(D283,1,3)="個別台",D296)))&amp;IF(OR(D277=0,D281="　",G293=""),"","、"&amp;_xlfn.IFS(MID(D279,1,3)="防食Ⅱ","HDZT77めっき",MID(D279,5,2)="塩害","ｱﾙﾐﾅｲｽﾞ処理",MID(D279,5,2)="酸性","重防食処理"))</f>
        <v/>
      </c>
      <c r="I293" s="52" t="str">
        <f>IF(OR(D277=0,D281="　",G293=""),"","n=1")</f>
        <v/>
      </c>
      <c r="J293" s="16" t="str">
        <f>IF(OR(D277=0,D281="　",G293=""),"","台")</f>
        <v/>
      </c>
      <c r="K293" s="32" t="str">
        <f>IF(OR(D277=0,D281="　",G293=""),"",1)</f>
        <v/>
      </c>
      <c r="L293" s="68" t="str">
        <f>IFERROR(D280*K293,"")</f>
        <v/>
      </c>
    </row>
    <row r="294" spans="2:12" ht="11.1" customHeight="1">
      <c r="B294" s="50" t="s">
        <v>20</v>
      </c>
      <c r="C294" s="10" t="s">
        <v>10</v>
      </c>
      <c r="D294" s="63" t="str">
        <f>IF(OR(D277=0,D281="　"),"──",SUM(D287,D291:D293))</f>
        <v>──</v>
      </c>
      <c r="F294" s="24">
        <v>18</v>
      </c>
      <c r="G294" s="17" t="str">
        <f>IF(OR(D277=0,D281="　",MID(D283,1,3)&lt;&gt;"のり面",1*MID(D284,1,2)=1,1*MID(D284,1,2)&gt;=5),"","補剛板")</f>
        <v/>
      </c>
      <c r="H294" s="46" t="str" cm="1">
        <f t="array" ref="H294">IF(OR(D277=0,D281="　",G294=""),"",IF(MID(D281,4,1)="5","□"&amp;_xlfn.SWITCH(1*MID(D281,6,FIND("H",D281,6)-6),1,"210φ131t12",2,"210φ131t12",3,"240φ131t12",4,"270φ131t12",5,"280φ143t12",6,"310φ143t16",7,"350φ143t19",8,"350φ180t19",9,"350φ180t19",10,"350φ180t19",11,"350φ180t22",12,"350φ180t22"),"□"&amp;_xlfn.SWITCH(1*MID(D281,6,FIND("H",D281,6)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277=0,D281="　",G294=""),"","、"&amp;_xlfn.IFS(MID(D279,1,3)="防食Ⅱ","HDZT77めっき",MID(D279,5,2)="塩害","ｱﾙﾐﾅｲｽﾞ処理",MID(D279,5,2)="酸性","重防食処理"))</f>
        <v/>
      </c>
      <c r="I294" s="52" t="str">
        <f>IF(OR(D277=0,D281="　",G294=""),"","n=1")</f>
        <v/>
      </c>
      <c r="J294" s="16" t="str">
        <f>IF(OR(D277=0,D281="　",G294=""),"","枚")</f>
        <v/>
      </c>
      <c r="K294" s="32" t="str">
        <f>IF(OR(D277=0,D281="　",G294=""),"",1)</f>
        <v/>
      </c>
      <c r="L294" s="68" t="str">
        <f>IFERROR(D280*K294,"")</f>
        <v/>
      </c>
    </row>
    <row r="295" spans="2:12" ht="11.1" customHeight="1">
      <c r="B295" s="51" t="s">
        <v>15</v>
      </c>
      <c r="C295" s="12" t="s">
        <v>10</v>
      </c>
      <c r="D295" s="64" t="str">
        <f>IF(OR(D277=0,D281="　"),"──",0.25)</f>
        <v>──</v>
      </c>
      <c r="F295" s="24">
        <v>19</v>
      </c>
      <c r="G295" s="17" t="str" cm="1">
        <f t="array" ref="G295">_xlfn.IFS(OR(D277=0,D281="　",MID(D282,1,3)="ｱﾙﾐ",1*MID(D284,1,2)=1,1*MID(D284,1,2)&gt;=5),"",MID(D282,1,3)&lt;&gt;"ｱﾙﾐ","テンドン補修用塗料")</f>
        <v/>
      </c>
      <c r="H295" s="38" t="str" cm="1">
        <f t="array" ref="H295">_xlfn.IFS(OR(D277=0,D281="　",MID(D282,1,3)="ｱﾙﾐ",1*MID(D284,1,2)=1,1*MID(D284,1,2)&gt;=5),"",MID(D282,1,3)&lt;&gt;"ｱﾙﾐ","エポキシ樹脂")</f>
        <v/>
      </c>
      <c r="I295" s="52" t="str" cm="1">
        <f t="array" ref="I295">_xlfn.IFS(OR(D277=0,D281="　",MID(D282,1,3)="ｱﾙﾐ",1*MID(D284,1,2)=1,1*MID(D284,1,2)&gt;=5),"",MID(D282,1,3)&lt;&gt;"ｱﾙﾐ","W=PC鋼より線本数×"&amp;IF(MID(D281,4,1)="5","0.28","0.4"))</f>
        <v/>
      </c>
      <c r="J295" s="16" t="str" cm="1">
        <f t="array" ref="J295">_xlfn.IFS(OR(D277=0,D281="　",MID(D282,1,3)="ｱﾙﾐ",1*MID(D284,1,2)=1,1*MID(D284,1,2)&gt;=5),"",MID(D282,1,3)&lt;&gt;"ｱﾙﾐ","g")</f>
        <v/>
      </c>
      <c r="K295" s="77" t="str" cm="1">
        <f t="array" ref="K295">_xlfn.IFS(OR(D277=0,D281="　",MID(D282,1,3)="ｱﾙﾐ",1*MID(D284,1,2)=1,1*MID(D284,1,2)&gt;=5),"",MID(D282,1,3)&lt;&gt;"ｱﾙﾐ",MID(D281,6,FIND("H",D281,6)-6)*IF(MID(D281,4,1)="5",0.28,0.4))</f>
        <v/>
      </c>
      <c r="L295" s="78" t="str">
        <f>IFERROR(D280*K295,"")</f>
        <v/>
      </c>
    </row>
    <row r="296" spans="2:12" ht="11.1" customHeight="1">
      <c r="B296" s="65" t="s">
        <v>32</v>
      </c>
      <c r="C296" s="3" t="s">
        <v>33</v>
      </c>
      <c r="D296" s="76"/>
      <c r="F296" s="24">
        <v>20</v>
      </c>
      <c r="G296" s="17" t="str" cm="1">
        <f t="array" ref="G296">_xlfn.IFS(OR(D277=0,D281="　",MID(D282,1,3)="ｱﾙﾐ",1*MID(D284,1,2)=1,1*MID(D284,1,2)&gt;=5),"",MID(D282,1,3)&lt;&gt;"ｱﾙﾐ","長期防錆スプレー")</f>
        <v/>
      </c>
      <c r="H296" s="38" t="str" cm="1">
        <f t="array" ref="H296">_xlfn.IFS(OR(D277=0,D281="　",MID(D282,1,3)="ｱﾙﾐ",1*MID(D284,1,2)=1,1*MID(D284,1,2)&gt;=5),"",MID(D282,1,3)&lt;&gt;"ｱﾙﾐ","防錆オイル")</f>
        <v/>
      </c>
      <c r="I296" s="52" t="str" cm="1">
        <f t="array" ref="I296">_xlfn.IFS(OR(D277=0,D281="　",MID(D282,1,3)="ｱﾙﾐ",1*MID(D284,1,2)=1,1*MID(D284,1,2)&gt;=5),"",MID(D282,1,3)&lt;&gt;"ｱﾙﾐ","n=0.01×(PC鋼より線本数+"&amp;IF(MID(D281,4,1)="5","6","12")&amp;")")</f>
        <v/>
      </c>
      <c r="J296" s="16" t="str" cm="1">
        <f t="array" ref="J296">_xlfn.IFS(OR(D277=0,D281="　",MID(D282,1,3)="ｱﾙﾐ",1*MID(D284,1,2)=1,1*MID(D284,1,2)&gt;=5),"",MID(D282,1,3)&lt;&gt;"ｱﾙﾐ","缶")</f>
        <v/>
      </c>
      <c r="K296" s="77" t="str" cm="1">
        <f t="array" ref="K296">_xlfn.IFS(OR(D277=0,D281="　",MID(D282,1,3)="ｱﾙﾐ",1*MID(D284,1,2)=1,1*MID(D284,1,2)&gt;=5),"",MID(D282,1,3)&lt;&gt;"ｱﾙﾐ",0.01*(IF(MID(D281,4,1)="5",6,12)+MID(LEFT(D281,LEN(D281)-1),6,2)))</f>
        <v/>
      </c>
      <c r="L296" s="78" t="str">
        <f>IFERROR(D280*K296,"")</f>
        <v/>
      </c>
    </row>
    <row r="297" spans="2:12" ht="11.1" customHeight="1">
      <c r="F297" s="24">
        <v>21</v>
      </c>
      <c r="G297" s="17" t="str">
        <f>IF(OR(D277=0,D281="　",1*MID(D284,1,2)&lt;=1,1*MID(D284,1,2)=3,,1*MID(D284,1,2)=6),"","ﾌﾘｰﾊﾟｯｶｰ注入ﾎｰｽ")</f>
        <v/>
      </c>
      <c r="H297" s="29" t="str">
        <f>IF(OR(D277=0,D281="　",1*MID(D284,1,2)&lt;=1,1*MID(D284,1,2)=3,,1*MID(D284,1,2)=6),"","φ16/20、ポリエチレン")</f>
        <v/>
      </c>
      <c r="I297" s="29" t="str">
        <f>IF(OR(D277=0,D281="　",1*MID(D284,1,2)&lt;=1,1*MID(D284,1,2)=3,,1*MID(D284,1,2)=6),"","L=自由長+緊張部長")</f>
        <v/>
      </c>
      <c r="J297" s="16" t="str">
        <f>IF(OR(D277=0,D281="　",1*MID(D284,1,2)&lt;=1,1*MID(D284,1,2)=3,,1*MID(D284,1,2)=6),"","m")</f>
        <v/>
      </c>
      <c r="K297" s="30" t="str">
        <f>IF(OR(D277=0,D281="　",1*MID(D284,1,2)&lt;=1,1*MID(D284,1,2)=3,,1*MID(D284,1,2)=6),"",D291+D292)</f>
        <v/>
      </c>
      <c r="L297" s="67" t="str">
        <f>IFERROR(D280*K297,"")</f>
        <v/>
      </c>
    </row>
    <row r="298" spans="2:12" ht="11.1" customHeight="1">
      <c r="F298" s="24">
        <v>22</v>
      </c>
      <c r="G298" s="17" t="str">
        <f>IF(OR(D277=0,D281="　",1*MID(D284,1,2)&lt;=1,1*MID(D284,1,2)=3,,1*MID(D284,1,2)=6),"","フリーパッカー")</f>
        <v/>
      </c>
      <c r="H298" s="52" t="str" cm="1">
        <f t="array" ref="H298">IF(OR(D277=0,D281="　",1*MID(D284,1,2)&lt;=1,1*MID(D284,1,2)=3,1*MID(D284,1,2)=6),"",_xlfn.SWITCH(D288,90,"PA-170",115,"PA-200",135,"PA-240",146,"PA-290",165,"PA-350",216,"PA-420")&amp;"、織布")</f>
        <v/>
      </c>
      <c r="I298" s="52" t="str">
        <f>IF(OR(D277=0,D281="　",1*MID(D284,1,2)&lt;=1,1*MID(D284,1,2)=3,1*MID(D284,1,2)=6),"","L=自由長+0.5")</f>
        <v/>
      </c>
      <c r="J298" s="16" t="str">
        <f>IF(OR(D277=0,D281="　",1*MID(D284,1,2)&lt;=1,1*MID(D284,1,2)=3,,1*MID(D284,1,2)=6),"","m")</f>
        <v/>
      </c>
      <c r="K298" s="30" t="str">
        <f>IF(OR(D277=0,D281="　",1*MID(D284,1,2)&lt;=1,1*MID(D284,1,2)=3,,1*MID(D284,1,2)=6),"",D291+0.5)</f>
        <v/>
      </c>
      <c r="L298" s="69" t="str">
        <f>IFERROR(D280*K298,"")</f>
        <v/>
      </c>
    </row>
    <row r="299" spans="2:12" ht="11.1" customHeight="1">
      <c r="F299" s="24">
        <v>23</v>
      </c>
      <c r="G299" s="17" t="str">
        <f>IF(OR(D277=0,D281="　",1*MID(D284,1,2)&lt;=1,1*MID(D284,1,2)=3,,1*MID(D284,1,2)=6),"","ﾌﾘｰﾊﾟｯｶｰ取付加工")</f>
        <v/>
      </c>
      <c r="H299" s="29" t="str">
        <f>IF(OR(D277=0,D281="　",1*MID(D284,1,2)&lt;=1,1*MID(D284,1,2)=3,,1*MID(D284,1,2)=6),"","材工")</f>
        <v/>
      </c>
      <c r="I299" s="29" t="str">
        <f>IF(OR(D277=0,D281="　",1*MID(D284,1,2)&lt;=1,1*MID(D284,1,2)=3,,1*MID(D284,1,2)=6),"","n=1")</f>
        <v/>
      </c>
      <c r="J299" s="16" t="str">
        <f>IF(OR(D277=0,D281="　",1*MID(D284,1,2)&lt;=1,1*MID(D284,1,2)=3,,1*MID(D284,1,2)=6),"","式")</f>
        <v/>
      </c>
      <c r="K299" s="32" t="str">
        <f>IF(OR(D277=0,D281="　",1*MID(D284,1,2)&lt;=1,1*MID(D284,1,2)=3,,1*MID(D284,1,2)=6),"",1)</f>
        <v/>
      </c>
      <c r="L299" s="70" t="str">
        <f>IFERROR(D280*K299,"")</f>
        <v/>
      </c>
    </row>
    <row r="300" spans="2:12" ht="11.1" customHeight="1">
      <c r="F300" s="24">
        <v>24</v>
      </c>
      <c r="G300" s="17" t="str">
        <f>IF(OR(D277=0,D281="　",1*MID(D284,1,2)&lt;=2,1*MID(D284,1,2)=5),"","フリクションパッカー")</f>
        <v/>
      </c>
      <c r="H300" s="38" t="str" cm="1">
        <f t="array" ref="H300">IF(OR(D277=0,D281="　",1*MID(D284,1,2)&lt;=2,1*MID(D284,1,2)=5),"",_xlfn.SWITCH(D288,90,"FP125",115,"FP125",135,"FP150",146,"FP175",165,"FP200",216,"FP235")&amp;"、パイレン布")</f>
        <v/>
      </c>
      <c r="I300" s="38" t="str">
        <f>IF(OR(D277=0,D281="　",1*MID(D284,1,2)&lt;=2,1*MID(D284,1,2)=5),"","L=アンカー体長+0.5")</f>
        <v/>
      </c>
      <c r="J300" s="16" t="str">
        <f>IF(OR(D277=0,D281="　",1*MID(D284,1,2)&lt;=2,1*MID(D284,1,2)=5),"","m")</f>
        <v/>
      </c>
      <c r="K300" s="30" t="str">
        <f>IF(OR(D277=0,D281="　",1*MID(D284,1,2)&lt;=2,1*MID(D284,1,2)=5),"",D287+0.5)</f>
        <v/>
      </c>
      <c r="L300" s="68" t="str">
        <f>IFERROR(D280*K300,"")</f>
        <v/>
      </c>
    </row>
    <row r="301" spans="2:12" ht="11.1" customHeight="1">
      <c r="F301" s="24">
        <v>25</v>
      </c>
      <c r="G301" s="17" t="str">
        <f>IF(OR(D277=0,D281="　",1*MID(D284,1,2)&lt;=2,1*MID(D284,1,2)=5),"","ﾌﾘｸｼｮﾝﾊﾟｯｶｰ取付加工")</f>
        <v/>
      </c>
      <c r="H301" s="29" t="str">
        <f>IF(OR(D277=0,D281="　",1*MID(D284,1,2)&lt;=2,1*MID(D284,1,2)=5),"","材工")</f>
        <v/>
      </c>
      <c r="I301" s="29" t="str">
        <f>IF(OR(D277=0,D281="　",1*MID(D284,1,2)&lt;=2,1*MID(D284,1,2)=5),"","n=1")</f>
        <v/>
      </c>
      <c r="J301" s="16" t="str">
        <f>IF(OR(D277=0,D281="　",1*MID(D284,1,2)&lt;=2,1*MID(D284,1,2)=5),"","式")</f>
        <v/>
      </c>
      <c r="K301" s="32" t="str">
        <f>IF(OR(D277=0,D281="　",1*MID(D284,1,2)&lt;=2,1*MID(D284,1,2)=5),"",1)</f>
        <v/>
      </c>
      <c r="L301" s="70" t="str">
        <f>IFERROR(D280*K301,"")</f>
        <v/>
      </c>
    </row>
    <row r="302" spans="2:12" ht="11.1" customHeight="1">
      <c r="F302" s="24">
        <v>26</v>
      </c>
      <c r="G302" s="17" t="str">
        <f>IF(OR(D277=0,D281="　",1*MID(D284,1,2)=0,1*MID(D284,1,2)=2,1*MID(D284,1,2)=3,1*MID(D284,1,2)=4),"","試験ﾊﾟｯｶｰ水注入ﾎｰｽ")</f>
        <v/>
      </c>
      <c r="H302" s="38" t="str">
        <f>IF(OR(D277=0,D281="　",1*MID(D284,1,2)=0,1*MID(D284,1,2)=2,1*MID(D284,1,2)=3,1*MID(D284,1,2)=4),"","φ4/6、ナイロン")</f>
        <v/>
      </c>
      <c r="I302" s="38" t="str">
        <f>IF(OR(D277=0,D281="　",1*MID(D284,1,2)=0,1*MID(D284,1,2)=2,1*MID(D284,1,2)=3,1*MID(D284,1,2)=4),"","L=自由長+緊張部長")</f>
        <v/>
      </c>
      <c r="J302" s="79" t="str">
        <f>IF(OR(D277=0,D281="　",1*MID(D284,1,2)=0,1*MID(D284,1,2)=2,1*MID(D284,1,2)=3,1*MID(D284,1,2)=4),"","m")</f>
        <v/>
      </c>
      <c r="K302" s="80" t="str">
        <f>IF(OR(D277=0,D281="　",1*MID(D284,1,2)=0,1*MID(D284,1,2)=2,1*MID(D284,1,2)=3,1*MID(D284,1,2)=4),"",D291+D292)</f>
        <v/>
      </c>
      <c r="L302" s="81" t="str">
        <f>IFERROR(D280*K302,"")</f>
        <v/>
      </c>
    </row>
    <row r="303" spans="2:12" ht="11.1" customHeight="1">
      <c r="F303" s="24">
        <v>27</v>
      </c>
      <c r="G303" s="17" t="str">
        <f>IF(OR(D277=0,D281="　",1*MID(D284,1,2)=0,1*MID(D284,1,2)=2,1*MID(D284,1,2)=3,1*MID(D284,1,2)=4),"","引抜試験パッカー")</f>
        <v/>
      </c>
      <c r="H303" s="38" t="str" cm="1">
        <f t="array" ref="H303">IF(OR(D277=0,D281="　",1*MID(D284,1,2)=0,1*MID(D284,1,2)=2,1*MID(D284,1,2)=3,1*MID(D284,1,2)=4),"",_xlfn.SWITCH(D288,90,"PU90",115,"PU115",135,"PU135",146,"PU146",165,"PU165")&amp;"、3層構造(鋼管･ゴム･布)")</f>
        <v/>
      </c>
      <c r="I303" s="38" t="str">
        <f>IF(OR(D277=0,D281="　",1*MID(D284,1,2)=0,1*MID(D284,1,2)=2,1*MID(D284,1,2)=3,1*MID(D284,1,2)=4),"","n=1")</f>
        <v/>
      </c>
      <c r="J303" s="79" t="str">
        <f>IF(OR(D277=0,D281="　",1*MID(D284,1,2)=0,1*MID(D284,1,2)=2,1*MID(D284,1,2)=3,1*MID(D284,1,2)=4),"","式")</f>
        <v/>
      </c>
      <c r="K303" s="32" t="str" cm="1">
        <f t="array" ref="K303">IF(OR(D277=0,D281="　",1*MID(D284,1,2)=0,1*MID(D284,1,2)=2,1*MID(D284,1,2)=3,1*MID(D284,1,2)=4),"",_xlfn.IFS(OR(1*MID(D284,1,2)=1,1*MID(D284,1,2)&gt;=5),1))</f>
        <v/>
      </c>
      <c r="L303" s="68" t="str">
        <f>IFERROR(D280*K303,"")</f>
        <v/>
      </c>
    </row>
    <row r="304" spans="2:12" ht="11.1" customHeight="1">
      <c r="F304" s="24">
        <v>28</v>
      </c>
      <c r="G304" s="17" t="str">
        <f>IF(OR(D277=0,D281="　",1*MID(D284,1,2)=0,1*MID(D284,1,2)=2,1*MID(D284,1,2)=3,1*MID(D284,1,2)=4),"","引抜試験パッカー取付加工")</f>
        <v/>
      </c>
      <c r="H304" s="38" t="str">
        <f>IF(OR(D277=0,D281="　",1*MID(D284,1,2)=0,1*MID(D284,1,2)=2,1*MID(D284,1,2)=3,1*MID(D284,1,2)=4),"","材工")</f>
        <v/>
      </c>
      <c r="I304" s="38" t="str">
        <f>IF(OR(D277=0,D281="　",1*MID(D284,1,2)=0,1*MID(D284,1,2)=2,1*MID(D284,1,2)=3,1*MID(D284,1,2)=4),"","n=1")</f>
        <v/>
      </c>
      <c r="J304" s="79" t="str" cm="1">
        <f t="array" ref="J304">IF(OR(D277=0,D281="　",1*MID(D284,1,2)=0,1*MID(D284,1,2)=2,1*MID(D284,1,2)=3,1*MID(D284,1,2)=4),"",_xlfn.IFS(OR(1*MID(D284,1,2)=1,1*MID(D284,1,2)&gt;=5),"式"))</f>
        <v/>
      </c>
      <c r="K304" s="32" t="str" cm="1">
        <f t="array" ref="K304">IF(OR(D277=0,D281="　",1*MID(D284,1,2)=0,1*MID(D284,1,2)=2,1*MID(D284,1,2)=3,1*MID(D284,1,2)=4),"",_xlfn.IFS(OR(1*MID(D284,1,2)=1,1*MID(D284,1,2)&gt;=5),1))</f>
        <v/>
      </c>
      <c r="L304" s="68" t="str">
        <f>IFERROR(D280*K304,"")</f>
        <v/>
      </c>
    </row>
    <row r="305" spans="2:12" ht="11.1" customHeight="1">
      <c r="F305" s="24">
        <v>29</v>
      </c>
      <c r="G305" s="17" t="str">
        <f>IF(OR(D277=0,D281="　",1*MID(D284,1,2)=0,1*MID(D284,1,2)=2,1*MID(D284,1,2)=3,1*MID(D284,1,2)=4),"","自由長洗浄ﾎｰｽ")</f>
        <v/>
      </c>
      <c r="H305" s="38" t="str">
        <f>IF(OR(D277=0,D281="　",1*MID(D284,1,2)=0,1*MID(D284,1,2)=2,1*MID(D284,1,2)=3,1*MID(D284,1,2)=4),"","φ16/20、ポリエチレン")</f>
        <v/>
      </c>
      <c r="I305" s="38" t="str">
        <f>IF(OR(D277=0,D281="　",1*MID(D284,1,2)=0,1*MID(D284,1,2)=2,1*MID(D284,1,2)=3,1*MID(D284,1,2)=4),"","L=自由長+0.5")</f>
        <v/>
      </c>
      <c r="J305" s="79" t="str">
        <f>IF(OR(D277=0,D281="　",1*MID(D284,1,2)=0,1*MID(D284,1,2)=2,1*MID(D284,1,2)=3,1*MID(D284,1,2)=4),"","m")</f>
        <v/>
      </c>
      <c r="K305" s="32" t="str">
        <f>IF(OR(D277=0,D281="　",1*MID(D284,1,2)=0,1*MID(D284,1,2)=2,1*MID(D284,1,2)=3,1*MID(D284,1,2)=4),"",D291+0.5)</f>
        <v/>
      </c>
      <c r="L305" s="81" t="str">
        <f>IFERROR(D280*K305,"")</f>
        <v/>
      </c>
    </row>
    <row r="306" spans="2:12" ht="11.1" customHeight="1">
      <c r="D306" s="1" t="s">
        <v>9</v>
      </c>
      <c r="F306" s="56">
        <v>30</v>
      </c>
      <c r="G306" s="82" t="str">
        <f>IF(OR(D277=0,D281="　",1*MID(D284,1,2)&lt;=2,1*MID(D284,1,2)=5,MID(D306,6,2)&lt;&gt;"あり"),"","確認ホース")</f>
        <v/>
      </c>
      <c r="H306" s="83" t="str">
        <f>IF(OR(D277=0,D281="　",1*MID(D284,1,2)&lt;=2,1*MID(D284,1,2)=5,MID(D306,6,2)&lt;&gt;"あり"),"","φ17、ポリエチレン")</f>
        <v/>
      </c>
      <c r="I306" s="83"/>
      <c r="J306" s="84" t="str">
        <f>IF(OR(D277=0,D281="　",1*MID(D284,1,2)&lt;=2,1*MID(D284,1,2)=5,MID(D306,6,2)&lt;&gt;"あり"),"","m")</f>
        <v/>
      </c>
      <c r="K306" s="85" t="str">
        <f>IF(OR(D276=0,D281="　",1*MID(D284,1,2)&lt;=2,1*MID(D284,1,2)=5,MID(D306,6,2)&lt;&gt;"あり"),"",0.5+MROUND(D291+D293,0.1))</f>
        <v/>
      </c>
      <c r="L306" s="86" t="str">
        <f>IFERROR(D280*K306,"")</f>
        <v/>
      </c>
    </row>
    <row r="308" spans="2:12" ht="11.1" customHeight="1">
      <c r="B308" s="19" t="s">
        <v>1</v>
      </c>
      <c r="D308" s="4"/>
      <c r="G308" s="73" t="s">
        <v>39</v>
      </c>
    </row>
    <row r="309" spans="2:12" ht="11.1" customHeight="1">
      <c r="G309" s="99">
        <f>D310</f>
        <v>10</v>
      </c>
      <c r="H309" s="55" t="str">
        <f>IF(D311=0,"",D312&amp;" "&amp;D315&amp; "："&amp;TEXT(D328,"L=##0.00")&amp;"m"&amp;TEXT(D326,",L1=##0.00")&amp;"m"&amp;TEXT(D325,",Lf=##0.00")&amp;"m"&amp;TEXT(D321,",LA=##0.00")&amp;"m"&amp;TEXT(D327,",L2=##0.00")&amp;"m")</f>
        <v>(10)1段/2段 EHD5-3H：L=17.20m,L1=1.00m,Lf=9.00m,LA=7.00m,L2=0.20m</v>
      </c>
      <c r="I309" s="55"/>
      <c r="J309" s="18"/>
    </row>
    <row r="310" spans="2:12" ht="11.1" customHeight="1">
      <c r="B310" s="13" t="s">
        <v>2</v>
      </c>
      <c r="C310" s="3" t="s">
        <v>3</v>
      </c>
      <c r="D310" s="98">
        <f>1+(ROW()-ROW($D$4))/34</f>
        <v>10</v>
      </c>
      <c r="F310" s="20"/>
      <c r="G310" s="21" t="s">
        <v>21</v>
      </c>
      <c r="H310" s="22" t="s">
        <v>22</v>
      </c>
      <c r="I310" s="22" t="s">
        <v>38</v>
      </c>
      <c r="J310" s="23" t="s">
        <v>23</v>
      </c>
      <c r="K310" s="22" t="s">
        <v>24</v>
      </c>
      <c r="L310" s="3" t="s">
        <v>4</v>
      </c>
    </row>
    <row r="311" spans="2:12" ht="11.1" customHeight="1">
      <c r="B311" s="28" t="s">
        <v>25</v>
      </c>
      <c r="C311" s="5" t="s">
        <v>26</v>
      </c>
      <c r="D311" s="6">
        <v>1</v>
      </c>
      <c r="F311" s="24">
        <v>1</v>
      </c>
      <c r="G311" s="25" t="str">
        <f>IF(OR(D311=0,D315="　"),"","硅砂付着ECFﾃﾝﾄﾞﾝ")</f>
        <v>硅砂付着ECFﾃﾝﾄﾞﾝ</v>
      </c>
      <c r="H311" s="26" t="str">
        <f>IF(OR(D311=0,D315="　"),"",D315&amp;" ("&amp;MID(D315,6,FIND("H",D315,6)-6)&amp;IF(MID(D315,4,1)="5","φ12.7","φ15.2")&amp;")")</f>
        <v>EHD5-3H (3φ12.7)</v>
      </c>
      <c r="I311" s="57" t="str">
        <f>IF(OR(D311=0,D315="　"),"","W=テンドン長×PC鋼より線本数×"&amp;IF(MID(D315,4,1)="5","0.774","1.101")&amp;"kg/m")</f>
        <v>W=テンドン長×PC鋼より線本数×0.774kg/m</v>
      </c>
      <c r="J311" s="14" t="str">
        <f>IF(OR(D311=0,D315="　"),"","kg")</f>
        <v>kg</v>
      </c>
      <c r="K311" s="27">
        <f>IF(OR(D311=0,D315="　"),"",MROUND(D328*MID(D315,6,FIND("H",D315,6)-6)*IF(MID(D315,4,1)="5","0.774","1.101"),0.01))</f>
        <v>39.94</v>
      </c>
      <c r="L311" s="15">
        <f>IFERROR(D314*K311,"")</f>
        <v>399.4</v>
      </c>
    </row>
    <row r="312" spans="2:12" ht="11.1" customHeight="1">
      <c r="B312" s="31" t="s">
        <v>45</v>
      </c>
      <c r="C312" s="71" t="s">
        <v>6</v>
      </c>
      <c r="D312" s="74" t="s">
        <v>40</v>
      </c>
      <c r="F312" s="24">
        <v>2</v>
      </c>
      <c r="G312" s="17" t="str">
        <f>IF(OR(D311=0,D315="　"),"","アンカー工場加工")</f>
        <v>アンカー工場加工</v>
      </c>
      <c r="H312" s="29"/>
      <c r="I312" s="46" t="str">
        <f>IF(OR(D311=0,D315="　"),"","L=テンドン長")</f>
        <v>L=テンドン長</v>
      </c>
      <c r="J312" s="16" t="str">
        <f>IF(OR(D311=0,D315="　"),"","m")</f>
        <v>m</v>
      </c>
      <c r="K312" s="30">
        <f>IF(OR(D311=0,D315="　"),"",MROUND(D328,0.1))</f>
        <v>17.2</v>
      </c>
      <c r="L312" s="67">
        <f>IFERROR(D314*K312,"")</f>
        <v>172</v>
      </c>
    </row>
    <row r="313" spans="2:12" ht="11.1" customHeight="1">
      <c r="B313" s="34" t="s">
        <v>7</v>
      </c>
      <c r="C313" s="49" t="s">
        <v>6</v>
      </c>
      <c r="D313" s="2" t="s">
        <v>34</v>
      </c>
      <c r="F313" s="24">
        <v>3</v>
      </c>
      <c r="G313" s="17" t="str">
        <f>IF(OR(D311=0,D315="　",1*MID(D318,1,2)=1,1*MID(D318,1,2)&gt;=5),"","頭部キャップ")</f>
        <v>頭部キャップ</v>
      </c>
      <c r="H313" s="29" t="str" cm="1">
        <f t="array" ref="H313">IF(OR(D311=0,D315="　",1*MID(D318,1,2)=1,1*MID(D318,1,2)&gt;=5),"",IF(MID(D315,4,1)="5",_xlfn.SWITCH(1*MID(D315,6,FIND("H",D315,6)-6),1,"S",2,"S",3,"S",4,"S",5,"M",6,"M",7,"M",8,"L",9,"L",10,"L",11,"L",12,"L"),_xlfn.SWITCH(1*MID(D315,6,FIND("H",D315,6)-6),1,"S",2,"S",3,"M",4,"M",5,"L",6,"L",7,"L",8,"LL",9,"LL",10,"LL",11,"LL",12,"LL",13,"LL",14,"LL",15,"3L",16,"3L",17,"3L",18,"3L",19,"3L"))&amp;"型"&amp;MID(D316,IF(MID(D316,1,1)="G",4,1),10)&amp;IF(OR(MID(D316,1,2)="透明",MID(D316,1,2)="5窓"),"、PC樹脂","")&amp;IF(MID(D316,4,2)="鋼製","、SS400相当、HDZT77めっき","、ｱﾙﾐAC4C相当"))&amp;_xlfn.IFS(OR(D311=0,D315="　",MID(D313,1,3)="防食Ⅱ"),"",MID(D313,5,2)="塩害","、ﾀｹｺｰﾄ処理",MID(D313,5,2)="酸性","、重防食処理")</f>
        <v>S型透明ｷｬｯﾌﾟ、PC樹脂、ｱﾙﾐAC4C相当</v>
      </c>
      <c r="I313" s="52" t="str">
        <f>IF(OR(D311=0,D315="　",1*MID(D318,1,2)=1,1*MID(D318,1,2)&gt;=5),"","n=1")</f>
        <v>n=1</v>
      </c>
      <c r="J313" s="16" t="str">
        <f>IF(OR(D311=0,D315="　",1*MID(D318,1,2)=1,1*MID(D318,1,2)&gt;=5),"","個")</f>
        <v>個</v>
      </c>
      <c r="K313" s="32">
        <f>IF(OR(D311=0,D315="　",1*MID(D318,1,2)=1,1*MID(D318,1,2)&gt;=5),"",1)</f>
        <v>1</v>
      </c>
      <c r="L313" s="68">
        <f>IFERROR(D314*K313,"")</f>
        <v>10</v>
      </c>
    </row>
    <row r="314" spans="2:12" ht="11.1" customHeight="1">
      <c r="B314" s="31" t="s">
        <v>27</v>
      </c>
      <c r="C314" s="10" t="s">
        <v>5</v>
      </c>
      <c r="D314" s="75">
        <v>10</v>
      </c>
      <c r="F314" s="24">
        <v>4</v>
      </c>
      <c r="G314" s="17" t="str">
        <f>IF(OR(D311=0,D315="　",1*MID(D318,1,2)=1,1*MID(D318,1,2)&gt;=5),"","アンカーヘッド")</f>
        <v>アンカーヘッド</v>
      </c>
      <c r="H314" s="29" t="str" cm="1">
        <f t="array" ref="H314">IF(OR(D311=0,D315="　",1*MID(D318,1,2)=1,1*MID(D318,1,2)&gt;=5),"",IF(MID(D315,4,1)="5","G5"&amp;_xlfn.SWITCH(1*MID(D315,6,FIND("H",D315,6)-6),1,"01",2,"02",3,"03",4,"04",5,"07",6,"07",7,"07",8,"09",9,"09",10,"12",11,"12",12,"12"),"G6"&amp;_xlfn.SWITCH(1*MID(D315,6,FIND("H",D315,6)-6),1,"01",2,"02",3,"03",4,"04",5,"07",6,"07",7,"07",8,"09",9,"09",10,"12",11,"12",12,"12",13,"14",14,"14",15,"19",16,"19",17,"19",18,"19",19,"19"))&amp;"、S45C相当")&amp;IF(OR(D311=0,D315="　",MID(D316,1,3)="ｱﾙﾐ",1*MID(D318,1,2)=1,1*MID(D318,1,2)&gt;=5),"","、無電解Niめっき")</f>
        <v>G503、S45C相当、無電解Niめっき</v>
      </c>
      <c r="I314" s="52" t="str">
        <f>IF(OR(D311=0,D315="　",1*MID(D318,1,2)=1,1*MID(D318,1,2)&gt;=5),"","n=1")</f>
        <v>n=1</v>
      </c>
      <c r="J314" s="16" t="str">
        <f>IF(OR(D311=0,D315="　",1*MID(D318,1,2)=1,1*MID(D318,1,2)&gt;=5),"","個")</f>
        <v>個</v>
      </c>
      <c r="K314" s="32">
        <f>IF(OR(D311=0,D315="　",1*MID(D318,1,2)=1,1*MID(D318,1,2)&gt;=5),"",1)</f>
        <v>1</v>
      </c>
      <c r="L314" s="68">
        <f>IFERROR(D314*K314,"")</f>
        <v>10</v>
      </c>
    </row>
    <row r="315" spans="2:12" ht="11.1" customHeight="1">
      <c r="B315" s="33" t="s">
        <v>28</v>
      </c>
      <c r="C315" s="71" t="s">
        <v>6</v>
      </c>
      <c r="D315" s="7" t="s">
        <v>0</v>
      </c>
      <c r="F315" s="24">
        <v>5</v>
      </c>
      <c r="G315" s="17" t="str">
        <f>IF(OR(D311=0,D315="　",1*MID(D318,1,2)=1,1*MID(D318,1,2)&gt;=5),"","ナット")</f>
        <v>ナット</v>
      </c>
      <c r="H315" s="29" t="str" cm="1">
        <f t="array" ref="H315">IF(OR(D311=0,D315="　",1*MID(D318,1,2)=1,1*MID(D318,1,2)&gt;=5),"",IF(MID(D315,4,1)="5","G5"&amp;_xlfn.SWITCH(1*MID(D315,6,FIND("H",D315,6)-6),1,"01",2,"02",3,"03",4,"04",5,"07",6,"07",7,"07",8,"09",9,"09",10,"12",11,"12",12,"12"),"G6"&amp;_xlfn.SWITCH(1*MID(D315,6,FIND("H",D315,6)-6),1,"01",2,"02",3,"03",4,"04",5,"07",6,"07",7,"07",8,"09",9,"09",10,"12",11,"12",12,"12",13,"14",14,"14",15,"19",16,"19",17,"19",18,"19",19,"19"))&amp;"、S45C相当")&amp;IF(OR(D311=0,D315="　",MID(D316,1,3)="ｱﾙﾐ",1*MID(D318,1,2)=1,1*MID(D318,1,2)&gt;=5),"","、無電解Niめっき")</f>
        <v>G503、S45C相当、無電解Niめっき</v>
      </c>
      <c r="I315" s="52" t="str">
        <f>IF(OR(D311=0,D315="　",1*MID(D318,1,2)=1,1*MID(D318,1,2)&gt;=5),"","n=1")</f>
        <v>n=1</v>
      </c>
      <c r="J315" s="16" t="str">
        <f>IF(OR(D311=0,D315="　",1*MID(D318,1,2)=1,1*MID(D318,1,2)&gt;=5),"","個")</f>
        <v>個</v>
      </c>
      <c r="K315" s="32">
        <f>IF(OR(D311=0,D315="　",1*MID(D318,1,2)=1,1*MID(D318,1,2)&gt;=5),"",1)</f>
        <v>1</v>
      </c>
      <c r="L315" s="68">
        <f>IFERROR(D314*K315,"")</f>
        <v>10</v>
      </c>
    </row>
    <row r="316" spans="2:12" ht="11.1" customHeight="1">
      <c r="B316" s="35" t="s">
        <v>29</v>
      </c>
      <c r="C316" s="49" t="s">
        <v>6</v>
      </c>
      <c r="D316" s="2" t="s">
        <v>35</v>
      </c>
      <c r="F316" s="24">
        <v>6</v>
      </c>
      <c r="G316" s="17" t="str">
        <f>IF(OR(D311=0,D315="　",1*MID(D318,1,2)=1,1*MID(D318,1,2)&gt;=5),"","くさび")</f>
        <v>くさび</v>
      </c>
      <c r="H316" s="29" t="str">
        <f>IF(OR(D311=0,D315="　",1*MID(D318,1,2)=1,1*MID(D318,1,2)&gt;=5),"",IF(1*MID(D315,4,1)=5,"ECF12.7","ECF15.2")&amp;"、SCM415相当")&amp;IF(OR(D311=0,D315="　",MID(D316,1,3)="ｱﾙﾐ",1*MID(D318,1,2)=1,1*MID(D318,1,2)&gt;=5),"","、無電解Niめっき")</f>
        <v>ECF12.7、SCM415相当、無電解Niめっき</v>
      </c>
      <c r="I316" s="52" t="str">
        <f>IF(OR(D311=0,D315="　",1*MID(D318,1,2)=1,1*MID(D318,1,2)&gt;=5),"","n=1")</f>
        <v>n=1</v>
      </c>
      <c r="J316" s="16" t="str">
        <f>IF(OR(D311=0,D315="　",1*MID(D318,1,2)=1,1*MID(D318,1,2)&gt;=5),"","式")</f>
        <v>式</v>
      </c>
      <c r="K316" s="32">
        <f>IF(OR(D311=0,D315="　",1*MID(D318,1,2)=1,1*MID(D318,1,2)&gt;=5),"",1)</f>
        <v>1</v>
      </c>
      <c r="L316" s="68">
        <f>IFERROR(D314*K316,"")</f>
        <v>10</v>
      </c>
    </row>
    <row r="317" spans="2:12" ht="11.1" customHeight="1">
      <c r="B317" s="35" t="s">
        <v>8</v>
      </c>
      <c r="C317" s="49" t="s">
        <v>6</v>
      </c>
      <c r="D317" s="2" t="s">
        <v>36</v>
      </c>
      <c r="F317" s="24">
        <v>7</v>
      </c>
      <c r="G317" s="17" t="str">
        <f>IF(OR(D311=0,D315="　",1*MID(D318,1,2)=1,1*MID(D318,1,2)&gt;=5),"","押え板")</f>
        <v>押え板</v>
      </c>
      <c r="H317" s="29" t="str" cm="1">
        <f t="array" ref="H317">IF(OR(D311=0,D315="　",1*MID(D318,1,2)=1,1*MID(D318,1,2)&gt;=5),"",IF(MID(D315,4,1)="5","G5"&amp;_xlfn.SWITCH(1*MID(D315,6,FIND("H",D315,6)-6),1,"01",2,"04",3,"03",4,"04",5,"07",6,"07",7,"07",8,"12",9,"12",10,"12",11,"12",12,"12"),"G6"&amp;_xlfn.SWITCH(1*MID(D315,6,FIND("H",D315,6)-6),1,"01",2,"02",3,"03",4,"04",5,"07",6,"07",7,"07",8,"12",9,"12",10,"12",11,"12",12,"12",13,"14",14,"14",15,"19",16,"19",17,"19",18,"19",19,"19"))&amp;"、SS400相当")&amp;IF(OR(D311=0,D315="　",1*MID(D318,1,2)=1,1*MID(D318,1,2)&gt;=5),"","、"&amp;_xlfn.IFS(MID(D313,1,3)="防食Ⅱ","HDZT77めっき",MID(D313,5,2)="塩害","ｱﾙﾐﾅｲｽﾞ処理",MID(D313,5,2)="酸性","重防食処理"))</f>
        <v>G503、SS400相当、HDZT77めっき</v>
      </c>
      <c r="I317" s="52" t="str">
        <f>IF(OR(D311=0,D315="　",1*MID(D318,1,2)=1,1*MID(D318,1,2)&gt;=5),"","n=1")</f>
        <v>n=1</v>
      </c>
      <c r="J317" s="16" t="str">
        <f>IF(OR(D311=0,D315="　",1*MID(D318,1,2)=1,1*MID(D318,1,2)&gt;=5),"","枚")</f>
        <v>枚</v>
      </c>
      <c r="K317" s="32">
        <f>IF(OR(D311=0,D315="　",1*MID(D318,1,2)=1,1*MID(D318,1,2)&gt;=5),"",1)</f>
        <v>1</v>
      </c>
      <c r="L317" s="68">
        <f>IFERROR(D314*K317,"")</f>
        <v>10</v>
      </c>
    </row>
    <row r="318" spans="2:12" ht="11.1" customHeight="1">
      <c r="B318" s="36" t="s">
        <v>87</v>
      </c>
      <c r="C318" s="72" t="s">
        <v>6</v>
      </c>
      <c r="D318" s="8" t="s">
        <v>42</v>
      </c>
      <c r="F318" s="24">
        <v>8</v>
      </c>
      <c r="G318" s="17" t="str">
        <f>IF(OR(D311=0,D315="　"),"",IF(OR(1*MID(D318,1,2)=1,1*MID(D318,1,2)&gt;=5,MID(D317,1,3)&lt;&gt;"のり面"),"","管付")&amp;"支圧板")</f>
        <v>管付支圧板</v>
      </c>
      <c r="H318" s="29" t="str" cm="1">
        <f t="array" ref="H318">IF(OR(D311=0,D315="　"),"","PL"&amp;IF(OR(1*MID(D318,1,2)=1,1*MID(D318,1,2)&gt;=5,MID(D317,1,3)&lt;&gt;"のり面"),"","P")&amp;IF(MID(D315,4,1)="5","5-"&amp;_xlfn.SWITCH(1*MID(D315,6,FIND("H",D315,6)-6),1,"1",2,"2",3,"3",4,"4",5,"5",6,"6",7,"7",8,"9",9,"9",10,"10",11,"11",12,"12"),"6-"&amp;_xlfn.SWITCH(1*MID(D315,6,FIND("H",D315,6)-6),1,"1",2,"2",3,"3",4,"4",5,"6",6,"6",7,"7",8,"8",9,"9",10,"10",11,"11",12,"12",13,"14",14,"14",15,"16",16,"16",17,"17",18,"18",19,"19"))&amp;"、SS400相当")&amp;IF(OR(D311=0,D315="　"),"","、"&amp;_xlfn.IFS(MID(D313,1,3)="防食Ⅱ","HDZT77めっき",MID(D313,5,2)="塩害","ｱﾙﾐﾅｲｽﾞ処理",MID(D313,5,2)="酸性","重防食処理"))</f>
        <v>PLP5-3、SS400相当、HDZT77めっき</v>
      </c>
      <c r="I318" s="52" t="str">
        <f>IF(OR(D311=0,D315="　"),"","n=1")</f>
        <v>n=1</v>
      </c>
      <c r="J318" s="16" t="str">
        <f>IF(OR(D311=0,D315="　"),"","枚")</f>
        <v>枚</v>
      </c>
      <c r="K318" s="32">
        <f>IF(OR(D311=0,D315="　"),"",1)</f>
        <v>1</v>
      </c>
      <c r="L318" s="68">
        <f>IFERROR(D314*K318,"")</f>
        <v>10</v>
      </c>
    </row>
    <row r="319" spans="2:12" ht="11.1" customHeight="1">
      <c r="B319" s="37" t="str" cm="1">
        <f t="array" ref="B319">"頭部自由長"&amp;_xlfn.IFS(MID(D317,1,2)="なし","",MID(D317,1,3)="受圧体","(受圧体)",MID(D317,1,3)="のり面","(角度台座＋受圧体)",MID(D317,1,3)="構造物","(壁面台座)",MID(D317,1,3)="土留め","(台座+腹起し)",MID(D317,1,3)="個別台","(個別台座+腹起し)")&amp;"　Lfh"</f>
        <v>頭部自由長(角度台座＋受圧体)　Lfh</v>
      </c>
      <c r="C319" s="9" t="s">
        <v>10</v>
      </c>
      <c r="D319" s="75">
        <v>0.5</v>
      </c>
      <c r="F319" s="24">
        <v>9</v>
      </c>
      <c r="G319" s="17" t="str">
        <f>IF(OR(D311=0,D315="　",1*MID(D318,1,2)=1,1*MID(D318,1,2)&gt;=5),"","止水ゴム")</f>
        <v>止水ゴム</v>
      </c>
      <c r="H319" s="29" t="str">
        <f>IF(OR(D311=0,D315="　",1*MID(D318,1,2)=1,1*MID(D318,1,2)&gt;=5),"","G"&amp;MID(D315,4,4)&amp;"、NBR45相当")</f>
        <v>G5-3H、NBR45相当</v>
      </c>
      <c r="I319" s="52" t="str">
        <f>IF(OR(D311=0,D315="　",1*MID(D318,1,2)=1,1*MID(D318,1,2)&gt;=5),"","n=1")</f>
        <v>n=1</v>
      </c>
      <c r="J319" s="16" t="str">
        <f>IF(OR(D311=0,D315="　",1*MID(D318,1,2)=1,1*MID(D318,1,2)&gt;=5),"","個")</f>
        <v>個</v>
      </c>
      <c r="K319" s="32">
        <f>IF(OR(D311=0,D315="　",1*MID(D318,1,2)=1,1*MID(D318,1,2)&gt;=5),"",1)</f>
        <v>1</v>
      </c>
      <c r="L319" s="68">
        <f>IFERROR(D314*K319,"")</f>
        <v>10</v>
      </c>
    </row>
    <row r="320" spans="2:12" ht="11.1" customHeight="1">
      <c r="B320" s="31" t="s">
        <v>11</v>
      </c>
      <c r="C320" s="10" t="s">
        <v>10</v>
      </c>
      <c r="D320" s="75">
        <v>8.5</v>
      </c>
      <c r="F320" s="24">
        <v>10</v>
      </c>
      <c r="G320" s="17" t="str" cm="1">
        <f t="array" ref="G320">IF(OR(D311=0,D315="　",1*MID(D318,1,2)=1,1*MID(D318,1,2)&gt;=5),"",_xlfn.IFS(MID(D316,1,3)="ｱﾙﾐ","頭部防錆油",MID(D316,1,3)&lt;&gt;"ｱﾙﾐ","余長キャップ"))</f>
        <v>余長キャップ</v>
      </c>
      <c r="H320" s="29" t="str" cm="1">
        <f t="array" ref="H320">_xlfn.IFS(OR(D311=0,D315="　",1*MID(D318,1,2)=1,1*MID(D318,1,2)&gt;=5),"",MID(D316,1,3)="ｱﾙﾐ","PCコートC",MID(D316,1,3)&lt;&gt;"ｱﾙﾐ","TC"&amp;MID(D315,4,1)&amp;"、高密度ポリエチレン")</f>
        <v>TC5、高密度ポリエチレン</v>
      </c>
      <c r="I320" s="52" t="str" cm="1">
        <f t="array" ref="I320">_xlfn.IFS(OR(D311=0,D315="　",1*MID(D318,1,2)=1,1*MID(D318,1,2)&gt;=5),"",MID(D316,1,3)="ｱﾙﾐ","W="&amp;IF(MID(D315,4,1)="5",_xlfn.SWITCH(1*MID(LEFT(D315, LEN(D315)-1),6,2),1,1.9,2,1.3,3,1.3,4,1.3,5,1.6,6,1.6,7,1.6,8,3.1,9,3.1,10,3.1,11,3.1,12,3.1),"G6"&amp;_xlfn.SWITCH(1*MID(LEFT(D315, LEN(D315)-1),6,2),1,1.8,2,1.3,3,1.8,4,1.8,5,3.3,6,3.3,7,3.3,8,9.9,9,9.9,10,9.9,11,9.9,12,9.9,13,9.9,14,9.9)),MID(D316,1,3)&lt;&gt;"ｱﾙﾐ","n=1")</f>
        <v>n=1</v>
      </c>
      <c r="J320" s="16" t="str" cm="1">
        <f t="array" ref="J320">_xlfn.IFS(OR(D311=0,D315="　",1*MID(D318,1,2)=1,1*MID(D318,1,2)&gt;=5),"",MID(D316,1,3)="ｱﾙﾐ","kg",MID(D316,1,3)&lt;&gt;"ｱﾙﾐ","式")</f>
        <v>式</v>
      </c>
      <c r="K320" s="80" cm="1">
        <f t="array" ref="K320">_xlfn.IFS(OR(D311=0,D315="　",1*MID(D318,1,2)=1,1*MID(D318,1,2)&gt;=5),"",MID(D316,1,3)="ｱﾙﾐ",_xlfn.SWITCH(MID(D315,4,1),"5",_xlfn.SWITCH(1*MID(D315,6,FIND("H",D315,6)-6),1,1.9,2,1.3,3,1.3,4,1.3,5,1.6,6,1.6,7,1.6,8,3.1,9,3.1,10,3.1,11,3.1,12,3.1),"6",_xlfn.SWITCH(1*MID(D315,6,FIND("H",D315,6)-6),1,1.8,2,1.3,3,1.8,4,1.8,5,3.3,6,3.3,7,3.3,8,9.9,9,9.9,10,9.9,11,9.9,12,9.9,13,9.9,14,9.9)),MID(D316,1,3)&lt;&gt;"ｱﾙﾐ",1)</f>
        <v>1</v>
      </c>
      <c r="L320" s="68">
        <f>IFERROR(D314*K320,"")</f>
        <v>10</v>
      </c>
    </row>
    <row r="321" spans="2:12" ht="11.1" customHeight="1">
      <c r="B321" s="39" t="s">
        <v>18</v>
      </c>
      <c r="C321" s="40" t="s">
        <v>10</v>
      </c>
      <c r="D321" s="75">
        <v>7</v>
      </c>
      <c r="F321" s="24">
        <v>11</v>
      </c>
      <c r="G321" s="17" t="str">
        <f>IF(OR(D311=0,D315="　",1*MID(D318,1,2)=1,1*MID(D318,1,2)&gt;=5),"","配列スペーサ")</f>
        <v>配列スペーサ</v>
      </c>
      <c r="H321" s="29" t="str">
        <f>IF(OR(D311=0,D315="　",1*MID(D318,1,2)=1,1*MID(D318,1,2)&gt;=5),"",IF(MID(D315,4,1)="5","PS5-"&amp;_xlfn.SWITCH(1*MID(D315,6,FIND("H",D315,6)-6),1,"7",2,"2",3,"3",4,"4",5,"7",6,"7",7,"7",8,"12",9,"12",10,"12",11,"12",12,"12"),"PS6-"&amp;_xlfn.SWITCH(1*MID(D315,6,FIND("H",D315,6)-6),1,"7",2,"2",3,"3",4,"4",5,"7",6,"7",7,"7",8,"12",9,"12",10,"12",11,"12",12,"12",13,"14",14,"14",15,"19",16,"19",17,"19",18,"19",19,"19"))&amp;"、ポリエチレン")</f>
        <v>PS5-3、ポリエチレン</v>
      </c>
      <c r="I321" s="52" t="str">
        <f>IF(OR(D311=0,D315="　",1*MID(D318,1,2)=1,1*MID(D318,1,2)&gt;=5),"","n=2")</f>
        <v>n=2</v>
      </c>
      <c r="J321" s="16" t="str">
        <f>IF(OR(D311=0,D315="　",1*MID(D318,1,2)=1,1*MID(D318,1,2)&gt;=5),"","個")</f>
        <v>個</v>
      </c>
      <c r="K321" s="32">
        <f>IF(OR(D311=0,D315="　",1*MID(D318,1,2)=1,1*MID(D318,1,2)&gt;=5),"",2)</f>
        <v>2</v>
      </c>
      <c r="L321" s="68">
        <f>IFERROR(D314*K321,"")</f>
        <v>20</v>
      </c>
    </row>
    <row r="322" spans="2:12" ht="11.1" customHeight="1">
      <c r="B322" s="36" t="s">
        <v>17</v>
      </c>
      <c r="C322" s="11" t="s">
        <v>16</v>
      </c>
      <c r="D322" s="54">
        <v>90</v>
      </c>
      <c r="F322" s="24">
        <v>12</v>
      </c>
      <c r="G322" s="17" t="str">
        <f>IF(OR(D311=0,D315="　"),"","スペーサ")</f>
        <v>スペーサ</v>
      </c>
      <c r="H322" s="29" t="str" cm="1">
        <f t="array" ref="H322">IF(OR(D311=0,D315="　"),"",IF(MID(D315,4,1)="5","S5-"&amp;_xlfn.IFS(1*MID(D315,6,FIND("H",D315,6)-6)&lt;6,"5",1*MID(D315,6,FIND("H",D315,6)-6)&lt;9,"8",1*MID(D315,6,FIND("H",D315,6)-6)&gt;8,"12"),"S6-"&amp;_xlfn.IFS(1*MID(D315,6,FIND("H",D315,6)-6)&lt;4,"3",1*MID(D315,6,FIND("H",D315,6)-6)&lt;7,"6",1*MID(D315,6,FIND("H",D315,6)-6)&lt;10,"9",1*MID(D315,6,FIND("H",D315,6)-6)&lt;13,"12",1*MID(D315,6,FIND("H",D315,6)-6)&lt;15,"14",1*MID(D315,6,FIND("H",D315,6)-6)&lt;20,"19"))&amp;"、ポリプロピレン")</f>
        <v>S5-5、ポリプロピレン</v>
      </c>
      <c r="I322" s="58" t="str">
        <f>IF(OR(D311=0,D315="　"),"","n=mround(アンカー体長－0.4)÷@1.0m, 1.0)")</f>
        <v>n=mround(アンカー体長－0.4)÷@1.0m, 1.0)</v>
      </c>
      <c r="J322" s="16" t="str">
        <f>IF(OR(D311=0,D315="　"),"","個")</f>
        <v>個</v>
      </c>
      <c r="K322" s="38">
        <f>IF(OR(D311=0,D315="　"),"",MROUND((D321-0.4)/1,1))</f>
        <v>7</v>
      </c>
      <c r="L322" s="67">
        <f>IFERROR(D314*K322,"")</f>
        <v>70</v>
      </c>
    </row>
    <row r="323" spans="2:12" ht="11.1" customHeight="1">
      <c r="B323" s="41" t="s">
        <v>37</v>
      </c>
      <c r="C323" s="5" t="s">
        <v>16</v>
      </c>
      <c r="D323" s="66" cm="1">
        <f t="array" ref="D323">IF(OR(D311=0,D315="　"),"",_xlfn.SWITCH(1*MID(D318,1,2),0,_xlfn.SWITCH(1*MID(D315,4,1),5,_xlfn.SWITCH(1*MID(LEFT(D315, LEN(D315)-1),6,2),1,90,2,90,3,90,4,90,5,90,6,115,7,115,8,115,9,135,10,135,11,135,12,135),6,_xlfn.SWITCH(1*MID(LEFT(D315, LEN(D315)-1),6,2),1,90,2,90,3,90,4,115,5,115,6,115,7,135,8,135,9,135,10,146,11,146,12,146,13,165,14,165)),1,_xlfn.SWITCH(1*MID(D315,4,1),5,_xlfn.SWITCH(1*MID(LEFT(D315, LEN(D315)-1),6,2),1,90,2,90,3,90,4,90,5,115,6,115,7,135,8,135,9,135,10,135,11,165,12,165),6,_xlfn.SWITCH(1*MID(LEFT(D315, LEN(D315)-1),6,2),1,90,2,90,3,115,4,115,5,135,6,135,7,135,8,135,9,135,10,165,11,165,12,165,13,165,14,165)),2,_xlfn.SWITCH(1*MID(D315,4,1),5,_xlfn.SWITCH(1*MID(LEFT(D315, LEN(D315)-1),6,2),1,90,2,90,3,115,4,115,5,115,6,115,7,135,8,135,9,146,10,146,11,146,12,146),6,_xlfn.SWITCH(1*MID(LEFT(D315, LEN(D315)-1),6,2),1,90,2,90,3,115,4,115,5,135,6,135,7,146,8,146,9,146,10,165,11,165,12,165,13,216,14,216)),3,_xlfn.SWITCH(1*MID(D315,4,1),5,_xlfn.SWITCH(1*MID(LEFT(D315, LEN(D315)-1),6,2),1,115,2,115,3,115,4,115,5,115,6,135,7,135,8,135,9,146,10,146,11,146,12,146),6,_xlfn.SWITCH(1*MID(LEFT(D315, LEN(D315)-1),6,2),1,115,2,115,3,115,4,135,5,135,6,135,7,146,8,146,9,146,10,165,11,165,12,165,13,216,14,216)),4,_xlfn.SWITCH(1*MID(D315,4,1),5,_xlfn.SWITCH(1*MID(LEFT(D315, LEN(D315)-1),6,2),1,115,2,115,3,115,4,115,5,115,6,135,7,135,8,135,9,146,10,146,11,146,12,146),6,_xlfn.SWITCH(1*MID(LEFT(D315, LEN(D315)-1),6,2),1,115,2,115,3,115,4,135,5,135,6,135,7,146,8,146,9,146,10,165,11,165,12,165,13,216,14,216)),5,_xlfn.SWITCH(1*MID(D315,4,1),5,_xlfn.SWITCH(1*MID(LEFT(D315, LEN(D315)-1),6,2),1,90,2,90,3,115,4,115,5,115,6,115,7,135,8,135,9,165,10,165,11,165,12,165),6,_xlfn.SWITCH(1*MID(LEFT(D315, LEN(D315)-1),6,2),1,90,2,90,3,115,4,115,5,135,6,135,7,165,8,165,9,165,10,165,11,165,12,165,13,216,14,216)),6,_xlfn.SWITCH(1*MID(D315,4,1),5,_xlfn.SWITCH(1*MID(LEFT(D315, LEN(D315)-1),6,2),1,115,2,115,3,115,4,115,5,115,6,135,7,135,8,135,9,165,10,165,11,165,12,165),6,_xlfn.SWITCH(1*MID(LEFT(D315, LEN(D315)-1),6,2),1,115,2,115,3,115,4,135,5,135,6,135,7,165,8,165,9,165,10,165,11,165,12,165,13,216,14,216)),7,_xlfn.SWITCH(1*MID(D315,4,1),5,_xlfn.SWITCH(1*MID(LEFT(D315, LEN(D315)-1),6,2),1,115,2,115,3,115,4,115,5,115,6,135,7,135,8,135,9,165,10,165,11,165,12,165),6,_xlfn.SWITCH(1*MID(LEFT(D315, LEN(D315)-1),6,2),1,115,2,115,3,115,4,135,5,135,6,135,7,165,8,165,9,165,10,165,11,165,12,165,13,216,14,216))))</f>
        <v>90</v>
      </c>
      <c r="F323" s="24">
        <v>13</v>
      </c>
      <c r="G323" s="17" t="str">
        <f>IF(OR(D311=0,D315="　"),"","ﾊﾟｲﾛｯﾄｷｬｯﾌﾟ")</f>
        <v>ﾊﾟｲﾛｯﾄｷｬｯﾌﾟ</v>
      </c>
      <c r="H323" s="29" t="str" cm="1">
        <f t="array" ref="H323">IF(OR(D311=0,D315="　"),"",IF(MID(D315,4,1)="5","PC5-"&amp;_xlfn.IFS(1*MID(D315,6,FIND("H",D315,6)-6)&lt;5,"4",1*MID(D315,6,FIND("H",D315,6)-6)&lt;8,"7",1*MID(D315,6,FIND("H",D315,6)-6)&lt;10,"9",1*MID(D315,6,FIND("H",D315,6)-6)&gt;9,"12"),"PC6-"&amp;_xlfn.IFS(1*MID(D315,6,FIND("H",D315,6)-6)&lt;4,"3",1*MID(D315,6,FIND("H",D315,6)-6)&lt;8,"7",1*MID(D315,6,FIND("H",D315,6)-6)&lt;13,"12",1*MID(D315,6,FIND("H",D315,6)-6)&lt;15,"14",1*MID(D315,6,FIND("H",D315,6)-6)&lt;20,"19"))&amp;"、ポリプロピレン")</f>
        <v>PC5-4、ポリプロピレン</v>
      </c>
      <c r="I323" s="52" t="str">
        <f>IF(OR(D311=0,D315="　"),"","n=1")</f>
        <v>n=1</v>
      </c>
      <c r="J323" s="16" t="str">
        <f>IF(OR(D311=0,D315="　"),"","個")</f>
        <v>個</v>
      </c>
      <c r="K323" s="32">
        <f>IF(OR(D311=0,D315="　"),"",1)</f>
        <v>1</v>
      </c>
      <c r="L323" s="68">
        <f>IFERROR(D314*K323,"")</f>
        <v>10</v>
      </c>
    </row>
    <row r="324" spans="2:12" ht="11.1" customHeight="1">
      <c r="B324" s="43" t="s">
        <v>30</v>
      </c>
      <c r="C324" s="44" t="s">
        <v>31</v>
      </c>
      <c r="D324" s="59" t="str">
        <f>IF(OR(D311=0,D315="　"),"",IF(D322=D323,"OK","CHECK"))</f>
        <v>OK</v>
      </c>
      <c r="F324" s="24">
        <v>14</v>
      </c>
      <c r="G324" s="17" t="str">
        <f>IF(OR(D311=0,D315="　"),"","結束バンド")</f>
        <v>結束バンド</v>
      </c>
      <c r="H324" s="29" t="str">
        <f>IF(OR(D311=0,D315="　"),"","66ナイロン")</f>
        <v>66ナイロン</v>
      </c>
      <c r="I324" s="58" t="str">
        <f>IF(OR(D311=0,D315="　"),"","n=スペーサ数×2")</f>
        <v>n=スペーサ数×2</v>
      </c>
      <c r="J324" s="16" t="str">
        <f>IF(OR(D311=0,D315="　"),"","本")</f>
        <v>本</v>
      </c>
      <c r="K324" s="38">
        <f>IF(OR(D311=0,D315="　"),"",2*K322)</f>
        <v>14</v>
      </c>
      <c r="L324" s="67">
        <f>IFERROR(D314*K324,"")</f>
        <v>140</v>
      </c>
    </row>
    <row r="325" spans="2:12" ht="11.1" customHeight="1">
      <c r="B325" s="45" t="s">
        <v>12</v>
      </c>
      <c r="C325" s="9" t="s">
        <v>10</v>
      </c>
      <c r="D325" s="60">
        <f>IF(OR(D311=0,D315="　"),"──",SUM(D319:D320))</f>
        <v>9</v>
      </c>
      <c r="F325" s="24">
        <v>15</v>
      </c>
      <c r="G325" s="17" t="str">
        <f>IF(OR(D311=0,D315="　"),"","結束テープ")</f>
        <v>結束テープ</v>
      </c>
      <c r="H325" s="29" t="str">
        <f>IF(OR(D311=0,D315="　"),"","フィラメントテープ")</f>
        <v>フィラメントテープ</v>
      </c>
      <c r="I325" s="58" t="str">
        <f>IF(OR(D311=0,D315="　"),"","L=(自由長+緊張部長)÷@1.0m×テープ係数"&amp;IF(MID(D315,4,1)="5",_xlfn.IFS(1*MID(LEFT(D315, LEN(D315)-1),6,2)&lt;4,"0.8",1*MID(LEFT(D315, LEN(D315)-1),6,2)&lt;7,"1.0",1*MID(LEFT(D315, LEN(D315)-1),6,2)&lt;10,"1.2",1*MID(LEFT(D315, LEN(D315)-1),6,2)&lt;13,"1.4"),_xlfn.IFS(1*MID(LEFT(D315, LEN(D315)-1),6,2)&lt;4,"1.0",1*MID(LEFT(D315, LEN(D315)-1),6,2)&lt;7,"1.2",1*MID(LEFT(D315, LEN(D315)-1),6,2)&lt;10,"1.4",1*MID(LEFT(D315, LEN(D315)-1),6,2)&lt;15,"1.8")))</f>
        <v>L=(自由長+緊張部長)÷@1.0m×テープ係数0.8</v>
      </c>
      <c r="J325" s="16" t="str">
        <f>IF(OR(D311=0,D315="　"),"","m")</f>
        <v>m</v>
      </c>
      <c r="K325" s="42" cm="1">
        <f t="array" ref="K325">IF(OR(D311=0,D315="　"),"",MROUND((SUM(D325,D326))/1*IF(MID(D315,4,1)="5",_xlfn.SWITCH(1*MID(D315,6,FIND("H",D315,6)-6),1,0.8,2,0.8,3,0.8,4,1,5,1,6,1,7,1.2,8,1.2,9,1.2,10,1.4,11,1.4,12,1.4),_xlfn.SWITCH(1*MID(D315,6,FIND("H",D315,6)-6),1,1,2,1,3,1,4,1.2,5,1.2,6,1.2,7,1.4,8,1.4,9,1.4,10,1.8,11,1.8,12,1.8,13,1.8,14,1.8,15,2.5,16,2.5,17,2.5,18,2.5,19,2.5)),0.1))</f>
        <v>8</v>
      </c>
      <c r="L325" s="69">
        <f>IFERROR(D314*K325,"")</f>
        <v>80</v>
      </c>
    </row>
    <row r="326" spans="2:12" ht="11.1" customHeight="1">
      <c r="B326" s="47" t="s">
        <v>13</v>
      </c>
      <c r="C326" s="10" t="s">
        <v>10</v>
      </c>
      <c r="D326" s="61" cm="1">
        <f t="array" ref="D326">IF(OR(D311=0,D315="　"),"──",IF(MID(D315,4,1)="5",_xlfn.IFS(1*MID(LEFT(D315,LEN(D315)-1),6,2)&lt;8,1,1*MID(LEFT(D315,LEN(D315)-1),6,2)&lt;13,1.2),_xlfn.IFS(1*MID(LEFT(D315,LEN(D315)-1),6,2)&lt;6,1,1*MID(LEFT(D315,LEN(D315)-1),6,2)&lt;15,1.2)))</f>
        <v>1</v>
      </c>
      <c r="F326" s="24">
        <v>16</v>
      </c>
      <c r="G326" s="17" t="str">
        <f>IF(OR(D311=0,D315="　",1*MID(D318,1,2)=1,1*MID(D318,1,2)=5),"","注入ホース")</f>
        <v>注入ホース</v>
      </c>
      <c r="H326" s="29" t="str">
        <f>IF(OR(D311=0,D315="　",1*MID(D318,1,2)=1,1*MID(D318,1,2)=5),"","φ16/20、高密度ポリエチレン")</f>
        <v>φ16/20、高密度ポリエチレン</v>
      </c>
      <c r="I326" s="46" t="str">
        <f>IF(OR(D311=0,D315="　",1*MID(D318,1,2)=1,1*MID(D318,1,2)=5),"","L=テンドン長")</f>
        <v>L=テンドン長</v>
      </c>
      <c r="J326" s="16" t="str">
        <f>IF(OR(D311=0,D315="　",1*MID(D318,1,2)=1,1*MID(D318,1,2)=5),"","m")</f>
        <v>m</v>
      </c>
      <c r="K326" s="30">
        <f>IF(OR(D311=0,D315="　",1*MID(D318,1,2)=1,1*MID(D318,1,2)=5),"",MROUND(D328,0.1))</f>
        <v>17.2</v>
      </c>
      <c r="L326" s="67">
        <f>IFERROR(D314*K326,"")</f>
        <v>172</v>
      </c>
    </row>
    <row r="327" spans="2:12" ht="11.1" customHeight="1">
      <c r="B327" s="48" t="s">
        <v>19</v>
      </c>
      <c r="C327" s="10" t="s">
        <v>14</v>
      </c>
      <c r="D327" s="62">
        <f>IF(OR(D311=0,D315="　"),"──",0.2)</f>
        <v>0.2</v>
      </c>
      <c r="F327" s="24">
        <v>17</v>
      </c>
      <c r="G327" s="17" t="str" cm="1">
        <f t="array" ref="G327">_xlfn.IFS(OR(D311=0,D315="　",MID(D317,1,2)="なし",MID(D317,1,3)="受圧体",1*MID(D318,1,2)=1,1*MID(D318,1,2)&gt;=5),"",MID(D317,1,3)="のり面","のり面角度台座",MID(D317,1,3)="構造物","構造物壁面台座",MID(D317,1,3)="土留め","土留め台座",MID(D317,1,3)="個別台","個別台座")</f>
        <v>のり面角度台座</v>
      </c>
      <c r="H327" s="46" t="str" cm="1">
        <f t="array" ref="H327">IF(OR(D311=0,D315="　",G327=""),"",_xlfn.IFS(MID(D317,1,3)="のり面",IF(1*MID(D315,4,1)=5,_xlfn.IFS(1*MID(D315,6,FIND("H",D315,6)-6)&lt;5,"ST140",1*MID(D315,6,FIND("H",D315,6)-6)&lt;8,"ST170",1*MID(D315,6,FIND("H",D315,6)-6)&lt;13,"ST220"),_xlfn.IFS(1*MID(D315,6,FIND("H",D315,6)-6)&lt;4,"ST140",1*MID(D315,6,FIND("H",D315,6)-6)&lt;5,"ST170",1*MID(D315,6,FIND("H",D315,6)-6)&lt;8,"ST220",1*MID(D315,6,FIND("H",D315,6)-6)&lt;20,"非該当"))&amp;"、FCD450相当",OR(MID(D317,1,3)="構造物",MID(D317,1,3)="土留め",MID(D317,1,3)="個別台"),D315&amp;"用"&amp;_xlfn.IFS(MID(D317,1,3)="構造物","",MID(D317,1,3)="土留め",IF(1*MID(D315,4,1)=5,_xlfn.SWITCH(1*MID(D315,6,FIND("H",D315,6)-6),1,"DA110",2,"DA220",3,"DA330",4,"DA440",5,"DA550",6,"DA660",7,"DA770",8,"DA880",9,"DA990",10,"DA1100",11,"DA1210",12,"DA1320"),_xlfn.SWITCH(1*MID(D315,6,FIND("H",D315,6)-6),1,"DA220",2,"DA330",3,"DA550",4,"DA660",5,"DA880",6,"DA990",7,"DA1100",8,"DA1320",9,"DA1410",10,"DA1570",11,"DA1730",12,"DA1880",13,"DA2040",14,"DA2200")),MID(D317,1,3)="個別台",D330)))&amp;IF(OR(D311=0,D315="　",G327=""),"","、"&amp;_xlfn.IFS(MID(D313,1,3)="防食Ⅱ","HDZT77めっき",MID(D313,5,2)="塩害","ｱﾙﾐﾅｲｽﾞ処理",MID(D313,5,2)="酸性","重防食処理"))</f>
        <v>ST140、FCD450相当、HDZT77めっき</v>
      </c>
      <c r="I327" s="52" t="str">
        <f>IF(OR(D311=0,D315="　",G327=""),"","n=1")</f>
        <v>n=1</v>
      </c>
      <c r="J327" s="16" t="str">
        <f>IF(OR(D311=0,D315="　",G327=""),"","台")</f>
        <v>台</v>
      </c>
      <c r="K327" s="32">
        <f>IF(OR(D311=0,D315="　",G327=""),"",1)</f>
        <v>1</v>
      </c>
      <c r="L327" s="68">
        <f>IFERROR(D314*K327,"")</f>
        <v>10</v>
      </c>
    </row>
    <row r="328" spans="2:12" ht="11.1" customHeight="1">
      <c r="B328" s="50" t="s">
        <v>20</v>
      </c>
      <c r="C328" s="10" t="s">
        <v>10</v>
      </c>
      <c r="D328" s="63">
        <f>IF(OR(D311=0,D315="　"),"──",SUM(D321,D325:D327))</f>
        <v>17.2</v>
      </c>
      <c r="F328" s="24">
        <v>18</v>
      </c>
      <c r="G328" s="17" t="str">
        <f>IF(OR(D311=0,D315="　",MID(D317,1,3)&lt;&gt;"のり面",1*MID(D318,1,2)=1,1*MID(D318,1,2)&gt;=5),"","補剛板")</f>
        <v>補剛板</v>
      </c>
      <c r="H328" s="46" t="str" cm="1">
        <f t="array" ref="H328">IF(OR(D311=0,D315="　",G328=""),"",IF(MID(D315,4,1)="5","□"&amp;_xlfn.SWITCH(1*MID(D315,6,FIND("H",D315,6)-6),1,"210φ131t12",2,"210φ131t12",3,"240φ131t12",4,"270φ131t12",5,"280φ143t12",6,"310φ143t16",7,"350φ143t19",8,"350φ180t19",9,"350φ180t19",10,"350φ180t19",11,"350φ180t22",12,"350φ180t22"),"□"&amp;_xlfn.SWITCH(1*MID(D315,6,FIND("H",D315,6)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311=0,D315="　",G328=""),"","、"&amp;_xlfn.IFS(MID(D313,1,3)="防食Ⅱ","HDZT77めっき",MID(D313,5,2)="塩害","ｱﾙﾐﾅｲｽﾞ処理",MID(D313,5,2)="酸性","重防食処理"))</f>
        <v>□240φ131t12、SS400相当、HDZT77めっき</v>
      </c>
      <c r="I328" s="52" t="str">
        <f>IF(OR(D311=0,D315="　",G328=""),"","n=1")</f>
        <v>n=1</v>
      </c>
      <c r="J328" s="16" t="str">
        <f>IF(OR(D311=0,D315="　",G328=""),"","枚")</f>
        <v>枚</v>
      </c>
      <c r="K328" s="32">
        <f>IF(OR(D311=0,D315="　",G328=""),"",1)</f>
        <v>1</v>
      </c>
      <c r="L328" s="68">
        <f>IFERROR(D314*K328,"")</f>
        <v>10</v>
      </c>
    </row>
    <row r="329" spans="2:12" ht="11.1" customHeight="1">
      <c r="B329" s="51" t="s">
        <v>15</v>
      </c>
      <c r="C329" s="12" t="s">
        <v>10</v>
      </c>
      <c r="D329" s="64">
        <f>IF(OR(D311=0,D315="　"),"──",0.25)</f>
        <v>0.25</v>
      </c>
      <c r="F329" s="24">
        <v>19</v>
      </c>
      <c r="G329" s="17" t="str" cm="1">
        <f t="array" ref="G329">_xlfn.IFS(OR(D311=0,D315="　",MID(D316,1,3)="ｱﾙﾐ",1*MID(D318,1,2)=1,1*MID(D318,1,2)&gt;=5),"",MID(D316,1,3)&lt;&gt;"ｱﾙﾐ","テンドン補修用塗料")</f>
        <v>テンドン補修用塗料</v>
      </c>
      <c r="H329" s="38" t="str" cm="1">
        <f t="array" ref="H329">_xlfn.IFS(OR(D311=0,D315="　",MID(D316,1,3)="ｱﾙﾐ",1*MID(D318,1,2)=1,1*MID(D318,1,2)&gt;=5),"",MID(D316,1,3)&lt;&gt;"ｱﾙﾐ","エポキシ樹脂")</f>
        <v>エポキシ樹脂</v>
      </c>
      <c r="I329" s="52" t="str" cm="1">
        <f t="array" ref="I329">_xlfn.IFS(OR(D311=0,D315="　",MID(D316,1,3)="ｱﾙﾐ",1*MID(D318,1,2)=1,1*MID(D318,1,2)&gt;=5),"",MID(D316,1,3)&lt;&gt;"ｱﾙﾐ","W=PC鋼より線本数×"&amp;IF(MID(D315,4,1)="5","0.28","0.4"))</f>
        <v>W=PC鋼より線本数×0.28</v>
      </c>
      <c r="J329" s="16" t="str" cm="1">
        <f t="array" ref="J329">_xlfn.IFS(OR(D311=0,D315="　",MID(D316,1,3)="ｱﾙﾐ",1*MID(D318,1,2)=1,1*MID(D318,1,2)&gt;=5),"",MID(D316,1,3)&lt;&gt;"ｱﾙﾐ","g")</f>
        <v>g</v>
      </c>
      <c r="K329" s="77" cm="1">
        <f t="array" ref="K329">_xlfn.IFS(OR(D311=0,D315="　",MID(D316,1,3)="ｱﾙﾐ",1*MID(D318,1,2)=1,1*MID(D318,1,2)&gt;=5),"",MID(D316,1,3)&lt;&gt;"ｱﾙﾐ",MID(D315,6,FIND("H",D315,6)-6)*IF(MID(D315,4,1)="5",0.28,0.4))</f>
        <v>0.84000000000000008</v>
      </c>
      <c r="L329" s="78">
        <f>IFERROR(D314*K329,"")</f>
        <v>8.4</v>
      </c>
    </row>
    <row r="330" spans="2:12" ht="11.1" customHeight="1">
      <c r="B330" s="65" t="s">
        <v>32</v>
      </c>
      <c r="C330" s="3" t="s">
        <v>33</v>
      </c>
      <c r="D330" s="76"/>
      <c r="F330" s="24">
        <v>20</v>
      </c>
      <c r="G330" s="17" t="str" cm="1">
        <f t="array" ref="G330">_xlfn.IFS(OR(D311=0,D315="　",MID(D316,1,3)="ｱﾙﾐ",1*MID(D318,1,2)=1,1*MID(D318,1,2)&gt;=5),"",MID(D316,1,3)&lt;&gt;"ｱﾙﾐ","長期防錆スプレー")</f>
        <v>長期防錆スプレー</v>
      </c>
      <c r="H330" s="38" t="str" cm="1">
        <f t="array" ref="H330">_xlfn.IFS(OR(D311=0,D315="　",MID(D316,1,3)="ｱﾙﾐ",1*MID(D318,1,2)=1,1*MID(D318,1,2)&gt;=5),"",MID(D316,1,3)&lt;&gt;"ｱﾙﾐ","防錆オイル")</f>
        <v>防錆オイル</v>
      </c>
      <c r="I330" s="52" t="str" cm="1">
        <f t="array" ref="I330">_xlfn.IFS(OR(D311=0,D315="　",MID(D316,1,3)="ｱﾙﾐ",1*MID(D318,1,2)=1,1*MID(D318,1,2)&gt;=5),"",MID(D316,1,3)&lt;&gt;"ｱﾙﾐ","n=0.01×(PC鋼より線本数+"&amp;IF(MID(D315,4,1)="5","6","12")&amp;")")</f>
        <v>n=0.01×(PC鋼より線本数+6)</v>
      </c>
      <c r="J330" s="16" t="str" cm="1">
        <f t="array" ref="J330">_xlfn.IFS(OR(D311=0,D315="　",MID(D316,1,3)="ｱﾙﾐ",1*MID(D318,1,2)=1,1*MID(D318,1,2)&gt;=5),"",MID(D316,1,3)&lt;&gt;"ｱﾙﾐ","缶")</f>
        <v>缶</v>
      </c>
      <c r="K330" s="77" cm="1">
        <f t="array" ref="K330">_xlfn.IFS(OR(D311=0,D315="　",MID(D316,1,3)="ｱﾙﾐ",1*MID(D318,1,2)=1,1*MID(D318,1,2)&gt;=5),"",MID(D316,1,3)&lt;&gt;"ｱﾙﾐ",0.01*(IF(MID(D315,4,1)="5",6,12)+MID(LEFT(D315,LEN(D315)-1),6,2)))</f>
        <v>0.09</v>
      </c>
      <c r="L330" s="78">
        <f>IFERROR(D314*K330,"")</f>
        <v>0.89999999999999991</v>
      </c>
    </row>
    <row r="331" spans="2:12" ht="11.1" customHeight="1">
      <c r="F331" s="24">
        <v>21</v>
      </c>
      <c r="G331" s="17" t="str">
        <f>IF(OR(D311=0,D315="　",1*MID(D318,1,2)&lt;=1,1*MID(D318,1,2)=3,,1*MID(D318,1,2)=6),"","ﾌﾘｰﾊﾟｯｶｰ注入ﾎｰｽ")</f>
        <v/>
      </c>
      <c r="H331" s="29" t="str">
        <f>IF(OR(D311=0,D315="　",1*MID(D318,1,2)&lt;=1,1*MID(D318,1,2)=3,,1*MID(D318,1,2)=6),"","φ16/20、ポリエチレン")</f>
        <v/>
      </c>
      <c r="I331" s="29" t="str">
        <f>IF(OR(D311=0,D315="　",1*MID(D318,1,2)&lt;=1,1*MID(D318,1,2)=3,,1*MID(D318,1,2)=6),"","L=自由長+緊張部長")</f>
        <v/>
      </c>
      <c r="J331" s="16" t="str">
        <f>IF(OR(D311=0,D315="　",1*MID(D318,1,2)&lt;=1,1*MID(D318,1,2)=3,,1*MID(D318,1,2)=6),"","m")</f>
        <v/>
      </c>
      <c r="K331" s="30" t="str">
        <f>IF(OR(D311=0,D315="　",1*MID(D318,1,2)&lt;=1,1*MID(D318,1,2)=3,,1*MID(D318,1,2)=6),"",D325+D326)</f>
        <v/>
      </c>
      <c r="L331" s="67" t="str">
        <f>IFERROR(D314*K331,"")</f>
        <v/>
      </c>
    </row>
    <row r="332" spans="2:12" ht="11.1" customHeight="1">
      <c r="F332" s="24">
        <v>22</v>
      </c>
      <c r="G332" s="17" t="str">
        <f>IF(OR(D311=0,D315="　",1*MID(D318,1,2)&lt;=1,1*MID(D318,1,2)=3,,1*MID(D318,1,2)=6),"","フリーパッカー")</f>
        <v/>
      </c>
      <c r="H332" s="52" t="str" cm="1">
        <f t="array" ref="H332">IF(OR(D311=0,D315="　",1*MID(D318,1,2)&lt;=1,1*MID(D318,1,2)=3,1*MID(D318,1,2)=6),"",_xlfn.SWITCH(D322,90,"PA-170",115,"PA-200",135,"PA-240",146,"PA-290",165,"PA-350",216,"PA-420")&amp;"、織布")</f>
        <v/>
      </c>
      <c r="I332" s="52" t="str">
        <f>IF(OR(D311=0,D315="　",1*MID(D318,1,2)&lt;=1,1*MID(D318,1,2)=3,1*MID(D318,1,2)=6),"","L=自由長+0.5")</f>
        <v/>
      </c>
      <c r="J332" s="16" t="str">
        <f>IF(OR(D311=0,D315="　",1*MID(D318,1,2)&lt;=1,1*MID(D318,1,2)=3,,1*MID(D318,1,2)=6),"","m")</f>
        <v/>
      </c>
      <c r="K332" s="30" t="str">
        <f>IF(OR(D311=0,D315="　",1*MID(D318,1,2)&lt;=1,1*MID(D318,1,2)=3,,1*MID(D318,1,2)=6),"",D325+0.5)</f>
        <v/>
      </c>
      <c r="L332" s="69" t="str">
        <f>IFERROR(D314*K332,"")</f>
        <v/>
      </c>
    </row>
    <row r="333" spans="2:12" ht="11.1" customHeight="1">
      <c r="F333" s="24">
        <v>23</v>
      </c>
      <c r="G333" s="17" t="str">
        <f>IF(OR(D311=0,D315="　",1*MID(D318,1,2)&lt;=1,1*MID(D318,1,2)=3,,1*MID(D318,1,2)=6),"","ﾌﾘｰﾊﾟｯｶｰ取付加工")</f>
        <v/>
      </c>
      <c r="H333" s="29" t="str">
        <f>IF(OR(D311=0,D315="　",1*MID(D318,1,2)&lt;=1,1*MID(D318,1,2)=3,,1*MID(D318,1,2)=6),"","材工")</f>
        <v/>
      </c>
      <c r="I333" s="29" t="str">
        <f>IF(OR(D311=0,D315="　",1*MID(D318,1,2)&lt;=1,1*MID(D318,1,2)=3,,1*MID(D318,1,2)=6),"","n=1")</f>
        <v/>
      </c>
      <c r="J333" s="16" t="str">
        <f>IF(OR(D311=0,D315="　",1*MID(D318,1,2)&lt;=1,1*MID(D318,1,2)=3,,1*MID(D318,1,2)=6),"","式")</f>
        <v/>
      </c>
      <c r="K333" s="32" t="str">
        <f>IF(OR(D311=0,D315="　",1*MID(D318,1,2)&lt;=1,1*MID(D318,1,2)=3,,1*MID(D318,1,2)=6),"",1)</f>
        <v/>
      </c>
      <c r="L333" s="70" t="str">
        <f>IFERROR(D314*K333,"")</f>
        <v/>
      </c>
    </row>
    <row r="334" spans="2:12" ht="11.1" customHeight="1">
      <c r="F334" s="24">
        <v>24</v>
      </c>
      <c r="G334" s="17" t="str">
        <f>IF(OR(D311=0,D315="　",1*MID(D318,1,2)&lt;=2,1*MID(D318,1,2)=5),"","フリクションパッカー")</f>
        <v/>
      </c>
      <c r="H334" s="38" t="str" cm="1">
        <f t="array" ref="H334">IF(OR(D311=0,D315="　",1*MID(D318,1,2)&lt;=2,1*MID(D318,1,2)=5),"",_xlfn.SWITCH(D322,90,"FP125",115,"FP125",135,"FP150",146,"FP175",165,"FP200",216,"FP235")&amp;"、パイレン布")</f>
        <v/>
      </c>
      <c r="I334" s="38" t="str">
        <f>IF(OR(D311=0,D315="　",1*MID(D318,1,2)&lt;=2,1*MID(D318,1,2)=5),"","L=アンカー体長+0.5")</f>
        <v/>
      </c>
      <c r="J334" s="16" t="str">
        <f>IF(OR(D311=0,D315="　",1*MID(D318,1,2)&lt;=2,1*MID(D318,1,2)=5),"","m")</f>
        <v/>
      </c>
      <c r="K334" s="30" t="str">
        <f>IF(OR(D311=0,D315="　",1*MID(D318,1,2)&lt;=2,1*MID(D318,1,2)=5),"",D321+0.5)</f>
        <v/>
      </c>
      <c r="L334" s="68" t="str">
        <f>IFERROR(D314*K334,"")</f>
        <v/>
      </c>
    </row>
    <row r="335" spans="2:12" ht="11.1" customHeight="1">
      <c r="F335" s="24">
        <v>25</v>
      </c>
      <c r="G335" s="17" t="str">
        <f>IF(OR(D311=0,D315="　",1*MID(D318,1,2)&lt;=2,1*MID(D318,1,2)=5),"","ﾌﾘｸｼｮﾝﾊﾟｯｶｰ取付加工")</f>
        <v/>
      </c>
      <c r="H335" s="29" t="str">
        <f>IF(OR(D311=0,D315="　",1*MID(D318,1,2)&lt;=2,1*MID(D318,1,2)=5),"","材工")</f>
        <v/>
      </c>
      <c r="I335" s="29" t="str">
        <f>IF(OR(D311=0,D315="　",1*MID(D318,1,2)&lt;=2,1*MID(D318,1,2)=5),"","n=1")</f>
        <v/>
      </c>
      <c r="J335" s="16" t="str">
        <f>IF(OR(D311=0,D315="　",1*MID(D318,1,2)&lt;=2,1*MID(D318,1,2)=5),"","式")</f>
        <v/>
      </c>
      <c r="K335" s="32" t="str">
        <f>IF(OR(D311=0,D315="　",1*MID(D318,1,2)&lt;=2,1*MID(D318,1,2)=5),"",1)</f>
        <v/>
      </c>
      <c r="L335" s="70" t="str">
        <f>IFERROR(D314*K335,"")</f>
        <v/>
      </c>
    </row>
    <row r="336" spans="2:12" ht="11.1" customHeight="1">
      <c r="F336" s="24">
        <v>26</v>
      </c>
      <c r="G336" s="17" t="str">
        <f>IF(OR(D311=0,D315="　",1*MID(D318,1,2)=0,1*MID(D318,1,2)=2,1*MID(D318,1,2)=3,1*MID(D318,1,2)=4),"","試験ﾊﾟｯｶｰ水注入ﾎｰｽ")</f>
        <v/>
      </c>
      <c r="H336" s="38" t="str">
        <f>IF(OR(D311=0,D315="　",1*MID(D318,1,2)=0,1*MID(D318,1,2)=2,1*MID(D318,1,2)=3,1*MID(D318,1,2)=4),"","φ4/6、ナイロン")</f>
        <v/>
      </c>
      <c r="I336" s="38" t="str">
        <f>IF(OR(D311=0,D315="　",1*MID(D318,1,2)=0,1*MID(D318,1,2)=2,1*MID(D318,1,2)=3,1*MID(D318,1,2)=4),"","L=自由長+緊張部長")</f>
        <v/>
      </c>
      <c r="J336" s="79" t="str">
        <f>IF(OR(D311=0,D315="　",1*MID(D318,1,2)=0,1*MID(D318,1,2)=2,1*MID(D318,1,2)=3,1*MID(D318,1,2)=4),"","m")</f>
        <v/>
      </c>
      <c r="K336" s="80" t="str">
        <f>IF(OR(D311=0,D315="　",1*MID(D318,1,2)=0,1*MID(D318,1,2)=2,1*MID(D318,1,2)=3,1*MID(D318,1,2)=4),"",D325+D326)</f>
        <v/>
      </c>
      <c r="L336" s="81" t="str">
        <f>IFERROR(D314*K336,"")</f>
        <v/>
      </c>
    </row>
    <row r="337" spans="2:12" ht="11.1" customHeight="1">
      <c r="F337" s="24">
        <v>27</v>
      </c>
      <c r="G337" s="17" t="str">
        <f>IF(OR(D311=0,D315="　",1*MID(D318,1,2)=0,1*MID(D318,1,2)=2,1*MID(D318,1,2)=3,1*MID(D318,1,2)=4),"","引抜試験パッカー")</f>
        <v/>
      </c>
      <c r="H337" s="38" t="str" cm="1">
        <f t="array" ref="H337">IF(OR(D311=0,D315="　",1*MID(D318,1,2)=0,1*MID(D318,1,2)=2,1*MID(D318,1,2)=3,1*MID(D318,1,2)=4),"",_xlfn.SWITCH(D322,90,"PU90",115,"PU115",135,"PU135",146,"PU146",165,"PU165")&amp;"、3層構造(鋼管･ゴム･布)")</f>
        <v/>
      </c>
      <c r="I337" s="38" t="str">
        <f>IF(OR(D311=0,D315="　",1*MID(D318,1,2)=0,1*MID(D318,1,2)=2,1*MID(D318,1,2)=3,1*MID(D318,1,2)=4),"","n=1")</f>
        <v/>
      </c>
      <c r="J337" s="79" t="str">
        <f>IF(OR(D311=0,D315="　",1*MID(D318,1,2)=0,1*MID(D318,1,2)=2,1*MID(D318,1,2)=3,1*MID(D318,1,2)=4),"","式")</f>
        <v/>
      </c>
      <c r="K337" s="32" t="str" cm="1">
        <f t="array" ref="K337">IF(OR(D311=0,D315="　",1*MID(D318,1,2)=0,1*MID(D318,1,2)=2,1*MID(D318,1,2)=3,1*MID(D318,1,2)=4),"",_xlfn.IFS(OR(1*MID(D318,1,2)=1,1*MID(D318,1,2)&gt;=5),1))</f>
        <v/>
      </c>
      <c r="L337" s="68" t="str">
        <f>IFERROR(D314*K337,"")</f>
        <v/>
      </c>
    </row>
    <row r="338" spans="2:12" ht="11.1" customHeight="1">
      <c r="F338" s="24">
        <v>28</v>
      </c>
      <c r="G338" s="17" t="str">
        <f>IF(OR(D311=0,D315="　",1*MID(D318,1,2)=0,1*MID(D318,1,2)=2,1*MID(D318,1,2)=3,1*MID(D318,1,2)=4),"","引抜試験パッカー取付加工")</f>
        <v/>
      </c>
      <c r="H338" s="38" t="str">
        <f>IF(OR(D311=0,D315="　",1*MID(D318,1,2)=0,1*MID(D318,1,2)=2,1*MID(D318,1,2)=3,1*MID(D318,1,2)=4),"","材工")</f>
        <v/>
      </c>
      <c r="I338" s="38" t="str">
        <f>IF(OR(D311=0,D315="　",1*MID(D318,1,2)=0,1*MID(D318,1,2)=2,1*MID(D318,1,2)=3,1*MID(D318,1,2)=4),"","n=1")</f>
        <v/>
      </c>
      <c r="J338" s="79" t="str" cm="1">
        <f t="array" ref="J338">IF(OR(D311=0,D315="　",1*MID(D318,1,2)=0,1*MID(D318,1,2)=2,1*MID(D318,1,2)=3,1*MID(D318,1,2)=4),"",_xlfn.IFS(OR(1*MID(D318,1,2)=1,1*MID(D318,1,2)&gt;=5),"式"))</f>
        <v/>
      </c>
      <c r="K338" s="32" t="str" cm="1">
        <f t="array" ref="K338">IF(OR(D311=0,D315="　",1*MID(D318,1,2)=0,1*MID(D318,1,2)=2,1*MID(D318,1,2)=3,1*MID(D318,1,2)=4),"",_xlfn.IFS(OR(1*MID(D318,1,2)=1,1*MID(D318,1,2)&gt;=5),1))</f>
        <v/>
      </c>
      <c r="L338" s="68" t="str">
        <f>IFERROR(D314*K338,"")</f>
        <v/>
      </c>
    </row>
    <row r="339" spans="2:12" ht="11.1" customHeight="1">
      <c r="F339" s="24">
        <v>29</v>
      </c>
      <c r="G339" s="17" t="str">
        <f>IF(OR(D311=0,D315="　",1*MID(D318,1,2)=0,1*MID(D318,1,2)=2,1*MID(D318,1,2)=3,1*MID(D318,1,2)=4),"","自由長洗浄ﾎｰｽ")</f>
        <v/>
      </c>
      <c r="H339" s="38" t="str">
        <f>IF(OR(D311=0,D315="　",1*MID(D318,1,2)=0,1*MID(D318,1,2)=2,1*MID(D318,1,2)=3,1*MID(D318,1,2)=4),"","φ16/20、ポリエチレン")</f>
        <v/>
      </c>
      <c r="I339" s="38" t="str">
        <f>IF(OR(D311=0,D315="　",1*MID(D318,1,2)=0,1*MID(D318,1,2)=2,1*MID(D318,1,2)=3,1*MID(D318,1,2)=4),"","L=自由長+0.5")</f>
        <v/>
      </c>
      <c r="J339" s="79" t="str">
        <f>IF(OR(D311=0,D315="　",1*MID(D318,1,2)=0,1*MID(D318,1,2)=2,1*MID(D318,1,2)=3,1*MID(D318,1,2)=4),"","m")</f>
        <v/>
      </c>
      <c r="K339" s="32" t="str">
        <f>IF(OR(D311=0,D315="　",1*MID(D318,1,2)=0,1*MID(D318,1,2)=2,1*MID(D318,1,2)=3,1*MID(D318,1,2)=4),"",D325+0.5)</f>
        <v/>
      </c>
      <c r="L339" s="81" t="str">
        <f>IFERROR(D314*K339,"")</f>
        <v/>
      </c>
    </row>
    <row r="340" spans="2:12" ht="11.1" customHeight="1">
      <c r="D340" s="1" t="s">
        <v>9</v>
      </c>
      <c r="F340" s="56">
        <v>30</v>
      </c>
      <c r="G340" s="82" t="str">
        <f>IF(OR(D311=0,D315="　",1*MID(D318,1,2)&lt;=2,1*MID(D318,1,2)=5,MID(D340,6,2)&lt;&gt;"あり"),"","確認ホース")</f>
        <v/>
      </c>
      <c r="H340" s="83" t="str">
        <f>IF(OR(D311=0,D315="　",1*MID(D318,1,2)&lt;=2,1*MID(D318,1,2)=5,MID(D340,6,2)&lt;&gt;"あり"),"","φ17、ポリエチレン")</f>
        <v/>
      </c>
      <c r="I340" s="83"/>
      <c r="J340" s="84" t="str">
        <f>IF(OR(D311=0,D315="　",1*MID(D318,1,2)&lt;=2,1*MID(D318,1,2)=5,MID(D340,6,2)&lt;&gt;"あり"),"","m")</f>
        <v/>
      </c>
      <c r="K340" s="85" t="str">
        <f>IF(OR(D310=0,D315="　",1*MID(D318,1,2)&lt;=2,1*MID(D318,1,2)=5,MID(D340,6,2)&lt;&gt;"あり"),"",0.5+MROUND(D325+D327,0.1))</f>
        <v/>
      </c>
      <c r="L340" s="86" t="str">
        <f>IFERROR(D314*K340,"")</f>
        <v/>
      </c>
    </row>
    <row r="342" spans="2:12" ht="11.1" customHeight="1">
      <c r="B342" s="19" t="s">
        <v>1</v>
      </c>
      <c r="D342" s="4"/>
      <c r="G342" s="73" t="s">
        <v>39</v>
      </c>
    </row>
    <row r="343" spans="2:12" ht="11.1" customHeight="1">
      <c r="G343" s="99">
        <f>D344</f>
        <v>11</v>
      </c>
      <c r="H343" s="55" t="str">
        <f>IF(D345=0,"",D346&amp;" "&amp;D349&amp; "："&amp;TEXT(D362,"L=##0.00")&amp;"m"&amp;TEXT(D360,",L1=##0.00")&amp;"m"&amp;TEXT(D359,",Lf=##0.00")&amp;"m"&amp;TEXT(D355,",LA=##0.00")&amp;"m"&amp;TEXT(D361,",L2=##0.00")&amp;"m")</f>
        <v>(11)1段/2段 EHD5-3H：L=17.20m,L1=1.00m,Lf=9.00m,LA=7.00m,L2=0.20m</v>
      </c>
      <c r="I343" s="55"/>
      <c r="J343" s="18"/>
    </row>
    <row r="344" spans="2:12" ht="11.1" customHeight="1">
      <c r="B344" s="13" t="s">
        <v>2</v>
      </c>
      <c r="C344" s="3" t="s">
        <v>3</v>
      </c>
      <c r="D344" s="98">
        <f>1+(ROW()-ROW($D$4))/34</f>
        <v>11</v>
      </c>
      <c r="F344" s="20"/>
      <c r="G344" s="21" t="s">
        <v>21</v>
      </c>
      <c r="H344" s="22" t="s">
        <v>22</v>
      </c>
      <c r="I344" s="22" t="s">
        <v>38</v>
      </c>
      <c r="J344" s="23" t="s">
        <v>23</v>
      </c>
      <c r="K344" s="22" t="s">
        <v>24</v>
      </c>
      <c r="L344" s="3" t="s">
        <v>4</v>
      </c>
    </row>
    <row r="345" spans="2:12" ht="11.1" customHeight="1">
      <c r="B345" s="28" t="s">
        <v>25</v>
      </c>
      <c r="C345" s="5" t="s">
        <v>26</v>
      </c>
      <c r="D345" s="6">
        <v>1</v>
      </c>
      <c r="F345" s="24">
        <v>1</v>
      </c>
      <c r="G345" s="25" t="str">
        <f>IF(OR(D345=0,D349="　"),"","硅砂付着ECFﾃﾝﾄﾞﾝ")</f>
        <v>硅砂付着ECFﾃﾝﾄﾞﾝ</v>
      </c>
      <c r="H345" s="26" t="str">
        <f>IF(OR(D345=0,D349="　"),"",D349&amp;" ("&amp;MID(D349,6,FIND("H",D349,6)-6)&amp;IF(MID(D349,4,1)="5","φ12.7","φ15.2")&amp;")")</f>
        <v>EHD5-3H (3φ12.7)</v>
      </c>
      <c r="I345" s="57" t="str">
        <f>IF(OR(D345=0,D349="　"),"","W=テンドン長×PC鋼より線本数×"&amp;IF(MID(D349,4,1)="5","0.774","1.101")&amp;"kg/m")</f>
        <v>W=テンドン長×PC鋼より線本数×0.774kg/m</v>
      </c>
      <c r="J345" s="14" t="str">
        <f>IF(OR(D345=0,D349="　"),"","kg")</f>
        <v>kg</v>
      </c>
      <c r="K345" s="27">
        <f>IF(OR(D345=0,D349="　"),"",MROUND(D362*MID(D349,6,FIND("H",D349,6)-6)*IF(MID(D349,4,1)="5","0.774","1.101"),0.01))</f>
        <v>39.94</v>
      </c>
      <c r="L345" s="15">
        <f>IFERROR(D348*K345,"")</f>
        <v>399.4</v>
      </c>
    </row>
    <row r="346" spans="2:12" ht="11.1" customHeight="1">
      <c r="B346" s="31" t="s">
        <v>45</v>
      </c>
      <c r="C346" s="71" t="s">
        <v>6</v>
      </c>
      <c r="D346" s="74" t="s">
        <v>97</v>
      </c>
      <c r="F346" s="24">
        <v>2</v>
      </c>
      <c r="G346" s="17" t="str">
        <f>IF(OR(D345=0,D349="　"),"","アンカー工場加工")</f>
        <v>アンカー工場加工</v>
      </c>
      <c r="H346" s="29"/>
      <c r="I346" s="46" t="str">
        <f>IF(OR(D345=0,D349="　"),"","L=テンドン長")</f>
        <v>L=テンドン長</v>
      </c>
      <c r="J346" s="16" t="str">
        <f>IF(OR(D345=0,D349="　"),"","m")</f>
        <v>m</v>
      </c>
      <c r="K346" s="30">
        <f>IF(OR(D345=0,D349="　"),"",MROUND(D362,0.1))</f>
        <v>17.2</v>
      </c>
      <c r="L346" s="67">
        <f>IFERROR(D348*K346,"")</f>
        <v>172</v>
      </c>
    </row>
    <row r="347" spans="2:12" ht="11.1" customHeight="1">
      <c r="B347" s="34" t="s">
        <v>7</v>
      </c>
      <c r="C347" s="49" t="s">
        <v>6</v>
      </c>
      <c r="D347" s="2" t="s">
        <v>43</v>
      </c>
      <c r="F347" s="24">
        <v>3</v>
      </c>
      <c r="G347" s="17" t="str">
        <f>IF(OR(D345=0,D349="　",1*MID(D352,1,2)=1,1*MID(D352,1,2)&gt;=5),"","頭部キャップ")</f>
        <v>頭部キャップ</v>
      </c>
      <c r="H347" s="29" t="str" cm="1">
        <f t="array" ref="H347">IF(OR(D345=0,D349="　",1*MID(D352,1,2)=1,1*MID(D352,1,2)&gt;=5),"",IF(MID(D349,4,1)="5",_xlfn.SWITCH(1*MID(D349,6,FIND("H",D349,6)-6),1,"S",2,"S",3,"S",4,"S",5,"M",6,"M",7,"M",8,"L",9,"L",10,"L",11,"L",12,"L"),_xlfn.SWITCH(1*MID(D349,6,FIND("H",D349,6)-6),1,"S",2,"S",3,"M",4,"M",5,"L",6,"L",7,"L",8,"LL",9,"LL",10,"LL",11,"LL",12,"LL",13,"LL",14,"LL",15,"3L",16,"3L",17,"3L",18,"3L",19,"3L"))&amp;"型"&amp;MID(D350,IF(MID(D350,1,1)="G",4,1),10)&amp;IF(OR(MID(D350,1,2)="透明",MID(D350,1,2)="5窓"),"、PC樹脂","")&amp;IF(MID(D350,4,2)="鋼製","、SS400相当、HDZT77めっき","、ｱﾙﾐAC4C相当"))&amp;_xlfn.IFS(OR(D345=0,D349="　",MID(D347,1,3)="防食Ⅱ"),"",MID(D347,5,2)="塩害","、ﾀｹｺｰﾄ処理",MID(D347,5,2)="酸性","、重防食処理")</f>
        <v>S型透明ｷｬｯﾌﾟ、PC樹脂、ｱﾙﾐAC4C相当、重防食処理</v>
      </c>
      <c r="I347" s="52" t="str">
        <f>IF(OR(D345=0,D349="　",1*MID(D352,1,2)=1,1*MID(D352,1,2)&gt;=5),"","n=1")</f>
        <v>n=1</v>
      </c>
      <c r="J347" s="16" t="str">
        <f>IF(OR(D345=0,D349="　",1*MID(D352,1,2)=1,1*MID(D352,1,2)&gt;=5),"","個")</f>
        <v>個</v>
      </c>
      <c r="K347" s="32">
        <f>IF(OR(D345=0,D349="　",1*MID(D352,1,2)=1,1*MID(D352,1,2)&gt;=5),"",1)</f>
        <v>1</v>
      </c>
      <c r="L347" s="68">
        <f>IFERROR(D348*K347,"")</f>
        <v>10</v>
      </c>
    </row>
    <row r="348" spans="2:12" ht="11.1" customHeight="1">
      <c r="B348" s="31" t="s">
        <v>27</v>
      </c>
      <c r="C348" s="10" t="s">
        <v>5</v>
      </c>
      <c r="D348" s="75">
        <v>10</v>
      </c>
      <c r="F348" s="24">
        <v>4</v>
      </c>
      <c r="G348" s="17" t="str">
        <f>IF(OR(D345=0,D349="　",1*MID(D352,1,2)=1,1*MID(D352,1,2)&gt;=5),"","アンカーヘッド")</f>
        <v>アンカーヘッド</v>
      </c>
      <c r="H348" s="29" t="str" cm="1">
        <f t="array" ref="H348">IF(OR(D345=0,D349="　",1*MID(D352,1,2)=1,1*MID(D352,1,2)&gt;=5),"",IF(MID(D349,4,1)="5","G5"&amp;_xlfn.SWITCH(1*MID(D349,6,FIND("H",D349,6)-6),1,"01",2,"02",3,"03",4,"04",5,"07",6,"07",7,"07",8,"09",9,"09",10,"12",11,"12",12,"12"),"G6"&amp;_xlfn.SWITCH(1*MID(D349,6,FIND("H",D349,6)-6),1,"01",2,"02",3,"03",4,"04",5,"07",6,"07",7,"07",8,"09",9,"09",10,"12",11,"12",12,"12",13,"14",14,"14",15,"19",16,"19",17,"19",18,"19",19,"19"))&amp;"、S45C相当")&amp;IF(OR(D345=0,D349="　",MID(D350,1,3)="ｱﾙﾐ",1*MID(D352,1,2)=1,1*MID(D352,1,2)&gt;=5),"","、無電解Niめっき")</f>
        <v>G503、S45C相当、無電解Niめっき</v>
      </c>
      <c r="I348" s="52" t="str">
        <f>IF(OR(D345=0,D349="　",1*MID(D352,1,2)=1,1*MID(D352,1,2)&gt;=5),"","n=1")</f>
        <v>n=1</v>
      </c>
      <c r="J348" s="16" t="str">
        <f>IF(OR(D345=0,D349="　",1*MID(D352,1,2)=1,1*MID(D352,1,2)&gt;=5),"","個")</f>
        <v>個</v>
      </c>
      <c r="K348" s="32">
        <f>IF(OR(D345=0,D349="　",1*MID(D352,1,2)=1,1*MID(D352,1,2)&gt;=5),"",1)</f>
        <v>1</v>
      </c>
      <c r="L348" s="68">
        <f>IFERROR(D348*K348,"")</f>
        <v>10</v>
      </c>
    </row>
    <row r="349" spans="2:12" ht="11.1" customHeight="1">
      <c r="B349" s="33" t="s">
        <v>28</v>
      </c>
      <c r="C349" s="71" t="s">
        <v>6</v>
      </c>
      <c r="D349" s="7" t="s">
        <v>0</v>
      </c>
      <c r="F349" s="24">
        <v>5</v>
      </c>
      <c r="G349" s="17" t="str">
        <f>IF(OR(D345=0,D349="　",1*MID(D352,1,2)=1,1*MID(D352,1,2)&gt;=5),"","ナット")</f>
        <v>ナット</v>
      </c>
      <c r="H349" s="29" t="str" cm="1">
        <f t="array" ref="H349">IF(OR(D345=0,D349="　",1*MID(D352,1,2)=1,1*MID(D352,1,2)&gt;=5),"",IF(MID(D349,4,1)="5","G5"&amp;_xlfn.SWITCH(1*MID(D349,6,FIND("H",D349,6)-6),1,"01",2,"02",3,"03",4,"04",5,"07",6,"07",7,"07",8,"09",9,"09",10,"12",11,"12",12,"12"),"G6"&amp;_xlfn.SWITCH(1*MID(D349,6,FIND("H",D349,6)-6),1,"01",2,"02",3,"03",4,"04",5,"07",6,"07",7,"07",8,"09",9,"09",10,"12",11,"12",12,"12",13,"14",14,"14",15,"19",16,"19",17,"19",18,"19",19,"19"))&amp;"、S45C相当")&amp;IF(OR(D345=0,D349="　",MID(D350,1,3)="ｱﾙﾐ",1*MID(D352,1,2)=1,1*MID(D352,1,2)&gt;=5),"","、無電解Niめっき")</f>
        <v>G503、S45C相当、無電解Niめっき</v>
      </c>
      <c r="I349" s="52" t="str">
        <f>IF(OR(D345=0,D349="　",1*MID(D352,1,2)=1,1*MID(D352,1,2)&gt;=5),"","n=1")</f>
        <v>n=1</v>
      </c>
      <c r="J349" s="16" t="str">
        <f>IF(OR(D345=0,D349="　",1*MID(D352,1,2)=1,1*MID(D352,1,2)&gt;=5),"","個")</f>
        <v>個</v>
      </c>
      <c r="K349" s="32">
        <f>IF(OR(D345=0,D349="　",1*MID(D352,1,2)=1,1*MID(D352,1,2)&gt;=5),"",1)</f>
        <v>1</v>
      </c>
      <c r="L349" s="68">
        <f>IFERROR(D348*K349,"")</f>
        <v>10</v>
      </c>
    </row>
    <row r="350" spans="2:12" ht="11.1" customHeight="1">
      <c r="B350" s="35" t="s">
        <v>29</v>
      </c>
      <c r="C350" s="49" t="s">
        <v>6</v>
      </c>
      <c r="D350" s="2" t="s">
        <v>35</v>
      </c>
      <c r="F350" s="24">
        <v>6</v>
      </c>
      <c r="G350" s="17" t="str">
        <f>IF(OR(D345=0,D349="　",1*MID(D352,1,2)=1,1*MID(D352,1,2)&gt;=5),"","くさび")</f>
        <v>くさび</v>
      </c>
      <c r="H350" s="29" t="str">
        <f>IF(OR(D345=0,D349="　",1*MID(D352,1,2)=1,1*MID(D352,1,2)&gt;=5),"",IF(1*MID(D349,4,1)=5,"ECF12.7","ECF15.2")&amp;"、SCM415相当")&amp;IF(OR(D345=0,D349="　",MID(D350,1,3)="ｱﾙﾐ",1*MID(D352,1,2)=1,1*MID(D352,1,2)&gt;=5),"","、無電解Niめっき")</f>
        <v>ECF12.7、SCM415相当、無電解Niめっき</v>
      </c>
      <c r="I350" s="52" t="str">
        <f>IF(OR(D345=0,D349="　",1*MID(D352,1,2)=1,1*MID(D352,1,2)&gt;=5),"","n=1")</f>
        <v>n=1</v>
      </c>
      <c r="J350" s="16" t="str">
        <f>IF(OR(D345=0,D349="　",1*MID(D352,1,2)=1,1*MID(D352,1,2)&gt;=5),"","式")</f>
        <v>式</v>
      </c>
      <c r="K350" s="32">
        <f>IF(OR(D345=0,D349="　",1*MID(D352,1,2)=1,1*MID(D352,1,2)&gt;=5),"",1)</f>
        <v>1</v>
      </c>
      <c r="L350" s="68">
        <f>IFERROR(D348*K350,"")</f>
        <v>10</v>
      </c>
    </row>
    <row r="351" spans="2:12" ht="11.1" customHeight="1">
      <c r="B351" s="35" t="s">
        <v>8</v>
      </c>
      <c r="C351" s="49" t="s">
        <v>6</v>
      </c>
      <c r="D351" s="2" t="s">
        <v>36</v>
      </c>
      <c r="F351" s="24">
        <v>7</v>
      </c>
      <c r="G351" s="17" t="str">
        <f>IF(OR(D345=0,D349="　",1*MID(D352,1,2)=1,1*MID(D352,1,2)&gt;=5),"","押え板")</f>
        <v>押え板</v>
      </c>
      <c r="H351" s="29" t="str" cm="1">
        <f t="array" ref="H351">IF(OR(D345=0,D349="　",1*MID(D352,1,2)=1,1*MID(D352,1,2)&gt;=5),"",IF(MID(D349,4,1)="5","G5"&amp;_xlfn.SWITCH(1*MID(D349,6,FIND("H",D349,6)-6),1,"01",2,"04",3,"03",4,"04",5,"07",6,"07",7,"07",8,"12",9,"12",10,"12",11,"12",12,"12"),"G6"&amp;_xlfn.SWITCH(1*MID(D349,6,FIND("H",D349,6)-6),1,"01",2,"02",3,"03",4,"04",5,"07",6,"07",7,"07",8,"12",9,"12",10,"12",11,"12",12,"12",13,"14",14,"14",15,"19",16,"19",17,"19",18,"19",19,"19"))&amp;"、SS400相当")&amp;IF(OR(D345=0,D349="　",1*MID(D352,1,2)=1,1*MID(D352,1,2)&gt;=5),"","、"&amp;_xlfn.IFS(MID(D347,1,3)="防食Ⅱ","HDZT77めっき",MID(D347,5,2)="塩害","ｱﾙﾐﾅｲｽﾞ処理",MID(D347,5,2)="酸性","重防食処理"))</f>
        <v>G503、SS400相当、重防食処理</v>
      </c>
      <c r="I351" s="52" t="str">
        <f>IF(OR(D345=0,D349="　",1*MID(D352,1,2)=1,1*MID(D352,1,2)&gt;=5),"","n=1")</f>
        <v>n=1</v>
      </c>
      <c r="J351" s="16" t="str">
        <f>IF(OR(D345=0,D349="　",1*MID(D352,1,2)=1,1*MID(D352,1,2)&gt;=5),"","枚")</f>
        <v>枚</v>
      </c>
      <c r="K351" s="32">
        <f>IF(OR(D345=0,D349="　",1*MID(D352,1,2)=1,1*MID(D352,1,2)&gt;=5),"",1)</f>
        <v>1</v>
      </c>
      <c r="L351" s="68">
        <f>IFERROR(D348*K351,"")</f>
        <v>10</v>
      </c>
    </row>
    <row r="352" spans="2:12" ht="11.1" customHeight="1">
      <c r="B352" s="36" t="s">
        <v>87</v>
      </c>
      <c r="C352" s="72" t="s">
        <v>6</v>
      </c>
      <c r="D352" s="8" t="s">
        <v>42</v>
      </c>
      <c r="F352" s="24">
        <v>8</v>
      </c>
      <c r="G352" s="17" t="str">
        <f>IF(OR(D345=0,D349="　"),"",IF(OR(1*MID(D352,1,2)=1,1*MID(D352,1,2)&gt;=5,MID(D351,1,3)&lt;&gt;"のり面"),"","管付")&amp;"支圧板")</f>
        <v>管付支圧板</v>
      </c>
      <c r="H352" s="29" t="str" cm="1">
        <f t="array" ref="H352">IF(OR(D345=0,D349="　"),"","PL"&amp;IF(OR(1*MID(D352,1,2)=1,1*MID(D352,1,2)&gt;=5,MID(D351,1,3)&lt;&gt;"のり面"),"","P")&amp;IF(MID(D349,4,1)="5","5-"&amp;_xlfn.SWITCH(1*MID(D349,6,FIND("H",D349,6)-6),1,"1",2,"2",3,"3",4,"4",5,"5",6,"6",7,"7",8,"9",9,"9",10,"10",11,"11",12,"12"),"6-"&amp;_xlfn.SWITCH(1*MID(D349,6,FIND("H",D349,6)-6),1,"1",2,"2",3,"3",4,"4",5,"6",6,"6",7,"7",8,"8",9,"9",10,"10",11,"11",12,"12",13,"14",14,"14",15,"16",16,"16",17,"17",18,"18",19,"19"))&amp;"、SS400相当")&amp;IF(OR(D345=0,D349="　"),"","、"&amp;_xlfn.IFS(MID(D347,1,3)="防食Ⅱ","HDZT77めっき",MID(D347,5,2)="塩害","ｱﾙﾐﾅｲｽﾞ処理",MID(D347,5,2)="酸性","重防食処理"))</f>
        <v>PLP5-3、SS400相当、重防食処理</v>
      </c>
      <c r="I352" s="52" t="str">
        <f>IF(OR(D345=0,D349="　"),"","n=1")</f>
        <v>n=1</v>
      </c>
      <c r="J352" s="16" t="str">
        <f>IF(OR(D345=0,D349="　"),"","枚")</f>
        <v>枚</v>
      </c>
      <c r="K352" s="32">
        <f>IF(OR(D345=0,D349="　"),"",1)</f>
        <v>1</v>
      </c>
      <c r="L352" s="68">
        <f>IFERROR(D348*K352,"")</f>
        <v>10</v>
      </c>
    </row>
    <row r="353" spans="2:12" ht="11.1" customHeight="1">
      <c r="B353" s="37" t="str" cm="1">
        <f t="array" ref="B353">"頭部自由長"&amp;_xlfn.IFS(MID(D351,1,2)="なし","",MID(D351,1,3)="受圧体","(受圧体)",MID(D351,1,3)="のり面","(角度台座＋受圧体)",MID(D351,1,3)="構造物","(壁面台座)",MID(D351,1,3)="土留め","(台座+腹起し)",MID(D351,1,3)="個別台","(個別台座+腹起し)")&amp;"　Lfh"</f>
        <v>頭部自由長(角度台座＋受圧体)　Lfh</v>
      </c>
      <c r="C353" s="9" t="s">
        <v>10</v>
      </c>
      <c r="D353" s="75">
        <v>0.5</v>
      </c>
      <c r="F353" s="24">
        <v>9</v>
      </c>
      <c r="G353" s="17" t="str">
        <f>IF(OR(D345=0,D349="　",1*MID(D352,1,2)=1,1*MID(D352,1,2)&gt;=5),"","止水ゴム")</f>
        <v>止水ゴム</v>
      </c>
      <c r="H353" s="29" t="str">
        <f>IF(OR(D345=0,D349="　",1*MID(D352,1,2)=1,1*MID(D352,1,2)&gt;=5),"","G"&amp;MID(D349,4,4)&amp;"、NBR45相当")</f>
        <v>G5-3H、NBR45相当</v>
      </c>
      <c r="I353" s="52" t="str">
        <f>IF(OR(D345=0,D349="　",1*MID(D352,1,2)=1,1*MID(D352,1,2)&gt;=5),"","n=1")</f>
        <v>n=1</v>
      </c>
      <c r="J353" s="16" t="str">
        <f>IF(OR(D345=0,D349="　",1*MID(D352,1,2)=1,1*MID(D352,1,2)&gt;=5),"","個")</f>
        <v>個</v>
      </c>
      <c r="K353" s="32">
        <f>IF(OR(D345=0,D349="　",1*MID(D352,1,2)=1,1*MID(D352,1,2)&gt;=5),"",1)</f>
        <v>1</v>
      </c>
      <c r="L353" s="68">
        <f>IFERROR(D348*K353,"")</f>
        <v>10</v>
      </c>
    </row>
    <row r="354" spans="2:12" ht="11.1" customHeight="1">
      <c r="B354" s="31" t="s">
        <v>11</v>
      </c>
      <c r="C354" s="10" t="s">
        <v>10</v>
      </c>
      <c r="D354" s="75">
        <v>8.5</v>
      </c>
      <c r="F354" s="24">
        <v>10</v>
      </c>
      <c r="G354" s="17" t="str" cm="1">
        <f t="array" ref="G354">IF(OR(D345=0,D349="　",1*MID(D352,1,2)=1,1*MID(D352,1,2)&gt;=5),"",_xlfn.IFS(MID(D350,1,3)="ｱﾙﾐ","頭部防錆油",MID(D350,1,3)&lt;&gt;"ｱﾙﾐ","余長キャップ"))</f>
        <v>余長キャップ</v>
      </c>
      <c r="H354" s="29" t="str" cm="1">
        <f t="array" ref="H354">_xlfn.IFS(OR(D345=0,D349="　",1*MID(D352,1,2)=1,1*MID(D352,1,2)&gt;=5),"",MID(D350,1,3)="ｱﾙﾐ","PCコートC",MID(D350,1,3)&lt;&gt;"ｱﾙﾐ","TC"&amp;MID(D349,4,1)&amp;"、高密度ポリエチレン")</f>
        <v>TC5、高密度ポリエチレン</v>
      </c>
      <c r="I354" s="52" t="str" cm="1">
        <f t="array" ref="I354">_xlfn.IFS(OR(D345=0,D349="　",1*MID(D352,1,2)=1,1*MID(D352,1,2)&gt;=5),"",MID(D350,1,3)="ｱﾙﾐ","W="&amp;IF(MID(D349,4,1)="5",_xlfn.SWITCH(1*MID(LEFT(D349, LEN(D349)-1),6,2),1,1.9,2,1.3,3,1.3,4,1.3,5,1.6,6,1.6,7,1.6,8,3.1,9,3.1,10,3.1,11,3.1,12,3.1),"G6"&amp;_xlfn.SWITCH(1*MID(LEFT(D349, LEN(D349)-1),6,2),1,1.8,2,1.3,3,1.8,4,1.8,5,3.3,6,3.3,7,3.3,8,9.9,9,9.9,10,9.9,11,9.9,12,9.9,13,9.9,14,9.9)),MID(D350,1,3)&lt;&gt;"ｱﾙﾐ","n=1")</f>
        <v>n=1</v>
      </c>
      <c r="J354" s="16" t="str" cm="1">
        <f t="array" ref="J354">_xlfn.IFS(OR(D345=0,D349="　",1*MID(D352,1,2)=1,1*MID(D352,1,2)&gt;=5),"",MID(D350,1,3)="ｱﾙﾐ","kg",MID(D350,1,3)&lt;&gt;"ｱﾙﾐ","式")</f>
        <v>式</v>
      </c>
      <c r="K354" s="80" cm="1">
        <f t="array" ref="K354">_xlfn.IFS(OR(D345=0,D349="　",1*MID(D352,1,2)=1,1*MID(D352,1,2)&gt;=5),"",MID(D350,1,3)="ｱﾙﾐ",_xlfn.SWITCH(MID(D349,4,1),"5",_xlfn.SWITCH(1*MID(D349,6,FIND("H",D349,6)-6),1,1.9,2,1.3,3,1.3,4,1.3,5,1.6,6,1.6,7,1.6,8,3.1,9,3.1,10,3.1,11,3.1,12,3.1),"6",_xlfn.SWITCH(1*MID(D349,6,FIND("H",D349,6)-6),1,1.8,2,1.3,3,1.8,4,1.8,5,3.3,6,3.3,7,3.3,8,9.9,9,9.9,10,9.9,11,9.9,12,9.9,13,9.9,14,9.9)),MID(D350,1,3)&lt;&gt;"ｱﾙﾐ",1)</f>
        <v>1</v>
      </c>
      <c r="L354" s="68">
        <f>IFERROR(D348*K354,"")</f>
        <v>10</v>
      </c>
    </row>
    <row r="355" spans="2:12" ht="11.1" customHeight="1">
      <c r="B355" s="39" t="s">
        <v>18</v>
      </c>
      <c r="C355" s="40" t="s">
        <v>10</v>
      </c>
      <c r="D355" s="75">
        <v>7</v>
      </c>
      <c r="F355" s="24">
        <v>11</v>
      </c>
      <c r="G355" s="17" t="str">
        <f>IF(OR(D345=0,D349="　",1*MID(D352,1,2)=1,1*MID(D352,1,2)&gt;=5),"","配列スペーサ")</f>
        <v>配列スペーサ</v>
      </c>
      <c r="H355" s="29" t="str">
        <f>IF(OR(D345=0,D349="　",1*MID(D352,1,2)=1,1*MID(D352,1,2)&gt;=5),"",IF(MID(D349,4,1)="5","PS5-"&amp;_xlfn.SWITCH(1*MID(D349,6,FIND("H",D349,6)-6),1,"7",2,"2",3,"3",4,"4",5,"7",6,"7",7,"7",8,"12",9,"12",10,"12",11,"12",12,"12"),"PS6-"&amp;_xlfn.SWITCH(1*MID(D349,6,FIND("H",D349,6)-6),1,"7",2,"2",3,"3",4,"4",5,"7",6,"7",7,"7",8,"12",9,"12",10,"12",11,"12",12,"12",13,"14",14,"14",15,"19",16,"19",17,"19",18,"19",19,"19"))&amp;"、ポリエチレン")</f>
        <v>PS5-3、ポリエチレン</v>
      </c>
      <c r="I355" s="52" t="str">
        <f>IF(OR(D345=0,D349="　",1*MID(D352,1,2)=1,1*MID(D352,1,2)&gt;=5),"","n=2")</f>
        <v>n=2</v>
      </c>
      <c r="J355" s="16" t="str">
        <f>IF(OR(D345=0,D349="　",1*MID(D352,1,2)=1,1*MID(D352,1,2)&gt;=5),"","個")</f>
        <v>個</v>
      </c>
      <c r="K355" s="32">
        <f>IF(OR(D345=0,D349="　",1*MID(D352,1,2)=1,1*MID(D352,1,2)&gt;=5),"",2)</f>
        <v>2</v>
      </c>
      <c r="L355" s="68">
        <f>IFERROR(D348*K355,"")</f>
        <v>20</v>
      </c>
    </row>
    <row r="356" spans="2:12" ht="11.1" customHeight="1">
      <c r="B356" s="36" t="s">
        <v>17</v>
      </c>
      <c r="C356" s="11" t="s">
        <v>16</v>
      </c>
      <c r="D356" s="54">
        <v>90</v>
      </c>
      <c r="F356" s="24">
        <v>12</v>
      </c>
      <c r="G356" s="17" t="str">
        <f>IF(OR(D345=0,D349="　"),"","スペーサ")</f>
        <v>スペーサ</v>
      </c>
      <c r="H356" s="29" t="str" cm="1">
        <f t="array" ref="H356">IF(OR(D345=0,D349="　"),"",IF(MID(D349,4,1)="5","S5-"&amp;_xlfn.IFS(1*MID(D349,6,FIND("H",D349,6)-6)&lt;6,"5",1*MID(D349,6,FIND("H",D349,6)-6)&lt;9,"8",1*MID(D349,6,FIND("H",D349,6)-6)&gt;8,"12"),"S6-"&amp;_xlfn.IFS(1*MID(D349,6,FIND("H",D349,6)-6)&lt;4,"3",1*MID(D349,6,FIND("H",D349,6)-6)&lt;7,"6",1*MID(D349,6,FIND("H",D349,6)-6)&lt;10,"9",1*MID(D349,6,FIND("H",D349,6)-6)&lt;13,"12",1*MID(D349,6,FIND("H",D349,6)-6)&lt;15,"14",1*MID(D349,6,FIND("H",D349,6)-6)&lt;20,"19"))&amp;"、ポリプロピレン")</f>
        <v>S5-5、ポリプロピレン</v>
      </c>
      <c r="I356" s="58" t="str">
        <f>IF(OR(D345=0,D349="　"),"","n=mround(アンカー体長－0.4)÷@1.0m, 1.0)")</f>
        <v>n=mround(アンカー体長－0.4)÷@1.0m, 1.0)</v>
      </c>
      <c r="J356" s="16" t="str">
        <f>IF(OR(D345=0,D349="　"),"","個")</f>
        <v>個</v>
      </c>
      <c r="K356" s="38">
        <f>IF(OR(D345=0,D349="　"),"",MROUND((D355-0.4)/1,1))</f>
        <v>7</v>
      </c>
      <c r="L356" s="67">
        <f>IFERROR(D348*K356,"")</f>
        <v>70</v>
      </c>
    </row>
    <row r="357" spans="2:12" ht="11.1" customHeight="1">
      <c r="B357" s="41" t="s">
        <v>37</v>
      </c>
      <c r="C357" s="5" t="s">
        <v>16</v>
      </c>
      <c r="D357" s="66" cm="1">
        <f t="array" ref="D357">IF(OR(D345=0,D349="　"),"",_xlfn.SWITCH(1*MID(D352,1,2),0,_xlfn.SWITCH(1*MID(D349,4,1),5,_xlfn.SWITCH(1*MID(LEFT(D349, LEN(D349)-1),6,2),1,90,2,90,3,90,4,90,5,90,6,115,7,115,8,115,9,135,10,135,11,135,12,135),6,_xlfn.SWITCH(1*MID(LEFT(D349, LEN(D349)-1),6,2),1,90,2,90,3,90,4,115,5,115,6,115,7,135,8,135,9,135,10,146,11,146,12,146,13,165,14,165)),1,_xlfn.SWITCH(1*MID(D349,4,1),5,_xlfn.SWITCH(1*MID(LEFT(D349, LEN(D349)-1),6,2),1,90,2,90,3,90,4,90,5,115,6,115,7,135,8,135,9,135,10,135,11,165,12,165),6,_xlfn.SWITCH(1*MID(LEFT(D349, LEN(D349)-1),6,2),1,90,2,90,3,115,4,115,5,135,6,135,7,135,8,135,9,135,10,165,11,165,12,165,13,165,14,165)),2,_xlfn.SWITCH(1*MID(D349,4,1),5,_xlfn.SWITCH(1*MID(LEFT(D349, LEN(D349)-1),6,2),1,90,2,90,3,115,4,115,5,115,6,115,7,135,8,135,9,146,10,146,11,146,12,146),6,_xlfn.SWITCH(1*MID(LEFT(D349, LEN(D349)-1),6,2),1,90,2,90,3,115,4,115,5,135,6,135,7,146,8,146,9,146,10,165,11,165,12,165,13,216,14,216)),3,_xlfn.SWITCH(1*MID(D349,4,1),5,_xlfn.SWITCH(1*MID(LEFT(D349, LEN(D349)-1),6,2),1,115,2,115,3,115,4,115,5,115,6,135,7,135,8,135,9,146,10,146,11,146,12,146),6,_xlfn.SWITCH(1*MID(LEFT(D349, LEN(D349)-1),6,2),1,115,2,115,3,115,4,135,5,135,6,135,7,146,8,146,9,146,10,165,11,165,12,165,13,216,14,216)),4,_xlfn.SWITCH(1*MID(D349,4,1),5,_xlfn.SWITCH(1*MID(LEFT(D349, LEN(D349)-1),6,2),1,115,2,115,3,115,4,115,5,115,6,135,7,135,8,135,9,146,10,146,11,146,12,146),6,_xlfn.SWITCH(1*MID(LEFT(D349, LEN(D349)-1),6,2),1,115,2,115,3,115,4,135,5,135,6,135,7,146,8,146,9,146,10,165,11,165,12,165,13,216,14,216)),5,_xlfn.SWITCH(1*MID(D349,4,1),5,_xlfn.SWITCH(1*MID(LEFT(D349, LEN(D349)-1),6,2),1,90,2,90,3,115,4,115,5,115,6,115,7,135,8,135,9,165,10,165,11,165,12,165),6,_xlfn.SWITCH(1*MID(LEFT(D349, LEN(D349)-1),6,2),1,90,2,90,3,115,4,115,5,135,6,135,7,165,8,165,9,165,10,165,11,165,12,165,13,216,14,216)),6,_xlfn.SWITCH(1*MID(D349,4,1),5,_xlfn.SWITCH(1*MID(LEFT(D349, LEN(D349)-1),6,2),1,115,2,115,3,115,4,115,5,115,6,135,7,135,8,135,9,165,10,165,11,165,12,165),6,_xlfn.SWITCH(1*MID(LEFT(D349, LEN(D349)-1),6,2),1,115,2,115,3,115,4,135,5,135,6,135,7,165,8,165,9,165,10,165,11,165,12,165,13,216,14,216)),7,_xlfn.SWITCH(1*MID(D349,4,1),5,_xlfn.SWITCH(1*MID(LEFT(D349, LEN(D349)-1),6,2),1,115,2,115,3,115,4,115,5,115,6,135,7,135,8,135,9,165,10,165,11,165,12,165),6,_xlfn.SWITCH(1*MID(LEFT(D349, LEN(D349)-1),6,2),1,115,2,115,3,115,4,135,5,135,6,135,7,165,8,165,9,165,10,165,11,165,12,165,13,216,14,216))))</f>
        <v>90</v>
      </c>
      <c r="F357" s="24">
        <v>13</v>
      </c>
      <c r="G357" s="17" t="str">
        <f>IF(OR(D345=0,D349="　"),"","ﾊﾟｲﾛｯﾄｷｬｯﾌﾟ")</f>
        <v>ﾊﾟｲﾛｯﾄｷｬｯﾌﾟ</v>
      </c>
      <c r="H357" s="29" t="str" cm="1">
        <f t="array" ref="H357">IF(OR(D345=0,D349="　"),"",IF(MID(D349,4,1)="5","PC5-"&amp;_xlfn.IFS(1*MID(D349,6,FIND("H",D349,6)-6)&lt;5,"4",1*MID(D349,6,FIND("H",D349,6)-6)&lt;8,"7",1*MID(D349,6,FIND("H",D349,6)-6)&lt;10,"9",1*MID(D349,6,FIND("H",D349,6)-6)&gt;9,"12"),"PC6-"&amp;_xlfn.IFS(1*MID(D349,6,FIND("H",D349,6)-6)&lt;4,"3",1*MID(D349,6,FIND("H",D349,6)-6)&lt;8,"7",1*MID(D349,6,FIND("H",D349,6)-6)&lt;13,"12",1*MID(D349,6,FIND("H",D349,6)-6)&lt;15,"14",1*MID(D349,6,FIND("H",D349,6)-6)&lt;20,"19"))&amp;"、ポリプロピレン")</f>
        <v>PC5-4、ポリプロピレン</v>
      </c>
      <c r="I357" s="52" t="str">
        <f>IF(OR(D345=0,D349="　"),"","n=1")</f>
        <v>n=1</v>
      </c>
      <c r="J357" s="16" t="str">
        <f>IF(OR(D345=0,D349="　"),"","個")</f>
        <v>個</v>
      </c>
      <c r="K357" s="32">
        <f>IF(OR(D345=0,D349="　"),"",1)</f>
        <v>1</v>
      </c>
      <c r="L357" s="68">
        <f>IFERROR(D348*K357,"")</f>
        <v>10</v>
      </c>
    </row>
    <row r="358" spans="2:12" ht="11.1" customHeight="1">
      <c r="B358" s="43" t="s">
        <v>30</v>
      </c>
      <c r="C358" s="44" t="s">
        <v>31</v>
      </c>
      <c r="D358" s="59" t="str">
        <f>IF(OR(D345=0,D349="　"),"",IF(D356=D357,"OK","CHECK"))</f>
        <v>OK</v>
      </c>
      <c r="F358" s="24">
        <v>14</v>
      </c>
      <c r="G358" s="17" t="str">
        <f>IF(OR(D345=0,D349="　"),"","結束バンド")</f>
        <v>結束バンド</v>
      </c>
      <c r="H358" s="29" t="str">
        <f>IF(OR(D345=0,D349="　"),"","66ナイロン")</f>
        <v>66ナイロン</v>
      </c>
      <c r="I358" s="58" t="str">
        <f>IF(OR(D345=0,D349="　"),"","n=スペーサ数×2")</f>
        <v>n=スペーサ数×2</v>
      </c>
      <c r="J358" s="16" t="str">
        <f>IF(OR(D345=0,D349="　"),"","本")</f>
        <v>本</v>
      </c>
      <c r="K358" s="38">
        <f>IF(OR(D345=0,D349="　"),"",2*K356)</f>
        <v>14</v>
      </c>
      <c r="L358" s="67">
        <f>IFERROR(D348*K358,"")</f>
        <v>140</v>
      </c>
    </row>
    <row r="359" spans="2:12" ht="11.1" customHeight="1">
      <c r="B359" s="45" t="s">
        <v>12</v>
      </c>
      <c r="C359" s="9" t="s">
        <v>10</v>
      </c>
      <c r="D359" s="60">
        <f>IF(OR(D345=0,D349="　"),"──",SUM(D353:D354))</f>
        <v>9</v>
      </c>
      <c r="F359" s="24">
        <v>15</v>
      </c>
      <c r="G359" s="17" t="str">
        <f>IF(OR(D345=0,D349="　"),"","結束テープ")</f>
        <v>結束テープ</v>
      </c>
      <c r="H359" s="29" t="str">
        <f>IF(OR(D345=0,D349="　"),"","フィラメントテープ")</f>
        <v>フィラメントテープ</v>
      </c>
      <c r="I359" s="58" t="str">
        <f>IF(OR(D345=0,D349="　"),"","L=(自由長+緊張部長)÷@1.0m×テープ係数"&amp;IF(MID(D349,4,1)="5",_xlfn.IFS(1*MID(LEFT(D349, LEN(D349)-1),6,2)&lt;4,"0.8",1*MID(LEFT(D349, LEN(D349)-1),6,2)&lt;7,"1.0",1*MID(LEFT(D349, LEN(D349)-1),6,2)&lt;10,"1.2",1*MID(LEFT(D349, LEN(D349)-1),6,2)&lt;13,"1.4"),_xlfn.IFS(1*MID(LEFT(D349, LEN(D349)-1),6,2)&lt;4,"1.0",1*MID(LEFT(D349, LEN(D349)-1),6,2)&lt;7,"1.2",1*MID(LEFT(D349, LEN(D349)-1),6,2)&lt;10,"1.4",1*MID(LEFT(D349, LEN(D349)-1),6,2)&lt;15,"1.8")))</f>
        <v>L=(自由長+緊張部長)÷@1.0m×テープ係数0.8</v>
      </c>
      <c r="J359" s="16" t="str">
        <f>IF(OR(D345=0,D349="　"),"","m")</f>
        <v>m</v>
      </c>
      <c r="K359" s="42" cm="1">
        <f t="array" ref="K359">IF(OR(D345=0,D349="　"),"",MROUND((SUM(D359,D360))/1*IF(MID(D349,4,1)="5",_xlfn.SWITCH(1*MID(D349,6,FIND("H",D349,6)-6),1,0.8,2,0.8,3,0.8,4,1,5,1,6,1,7,1.2,8,1.2,9,1.2,10,1.4,11,1.4,12,1.4),_xlfn.SWITCH(1*MID(D349,6,FIND("H",D349,6)-6),1,1,2,1,3,1,4,1.2,5,1.2,6,1.2,7,1.4,8,1.4,9,1.4,10,1.8,11,1.8,12,1.8,13,1.8,14,1.8,15,2.5,16,2.5,17,2.5,18,2.5,19,2.5)),0.1))</f>
        <v>8</v>
      </c>
      <c r="L359" s="69">
        <f>IFERROR(D348*K359,"")</f>
        <v>80</v>
      </c>
    </row>
    <row r="360" spans="2:12" ht="11.1" customHeight="1">
      <c r="B360" s="47" t="s">
        <v>13</v>
      </c>
      <c r="C360" s="10" t="s">
        <v>10</v>
      </c>
      <c r="D360" s="61" cm="1">
        <f t="array" ref="D360">IF(OR(D345=0,D349="　"),"──",IF(MID(D349,4,1)="5",_xlfn.IFS(1*MID(LEFT(D349,LEN(D349)-1),6,2)&lt;8,1,1*MID(LEFT(D349,LEN(D349)-1),6,2)&lt;13,1.2),_xlfn.IFS(1*MID(LEFT(D349,LEN(D349)-1),6,2)&lt;6,1,1*MID(LEFT(D349,LEN(D349)-1),6,2)&lt;15,1.2)))</f>
        <v>1</v>
      </c>
      <c r="F360" s="24">
        <v>16</v>
      </c>
      <c r="G360" s="17" t="str">
        <f>IF(OR(D345=0,D349="　",1*MID(D352,1,2)=1,1*MID(D352,1,2)=5),"","注入ホース")</f>
        <v>注入ホース</v>
      </c>
      <c r="H360" s="29" t="str">
        <f>IF(OR(D345=0,D349="　",1*MID(D352,1,2)=1,1*MID(D352,1,2)=5),"","φ16/20、高密度ポリエチレン")</f>
        <v>φ16/20、高密度ポリエチレン</v>
      </c>
      <c r="I360" s="46" t="str">
        <f>IF(OR(D345=0,D349="　",1*MID(D352,1,2)=1,1*MID(D352,1,2)=5),"","L=テンドン長")</f>
        <v>L=テンドン長</v>
      </c>
      <c r="J360" s="16" t="str">
        <f>IF(OR(D345=0,D349="　",1*MID(D352,1,2)=1,1*MID(D352,1,2)=5),"","m")</f>
        <v>m</v>
      </c>
      <c r="K360" s="30">
        <f>IF(OR(D345=0,D349="　",1*MID(D352,1,2)=1,1*MID(D352,1,2)=5),"",MROUND(D362,0.1))</f>
        <v>17.2</v>
      </c>
      <c r="L360" s="67">
        <f>IFERROR(D348*K360,"")</f>
        <v>172</v>
      </c>
    </row>
    <row r="361" spans="2:12" ht="11.1" customHeight="1">
      <c r="B361" s="48" t="s">
        <v>19</v>
      </c>
      <c r="C361" s="10" t="s">
        <v>14</v>
      </c>
      <c r="D361" s="62">
        <f>IF(OR(D345=0,D349="　"),"──",0.2)</f>
        <v>0.2</v>
      </c>
      <c r="F361" s="24">
        <v>17</v>
      </c>
      <c r="G361" s="17" t="str" cm="1">
        <f t="array" ref="G361">_xlfn.IFS(OR(D345=0,D349="　",MID(D351,1,2)="なし",MID(D351,1,3)="受圧体",1*MID(D352,1,2)=1,1*MID(D352,1,2)&gt;=5),"",MID(D351,1,3)="のり面","のり面角度台座",MID(D351,1,3)="構造物","構造物壁面台座",MID(D351,1,3)="土留め","土留め台座",MID(D351,1,3)="個別台","個別台座")</f>
        <v>のり面角度台座</v>
      </c>
      <c r="H361" s="46" t="str" cm="1">
        <f t="array" ref="H361">IF(OR(D345=0,D349="　",G361=""),"",_xlfn.IFS(MID(D351,1,3)="のり面",IF(1*MID(D349,4,1)=5,_xlfn.IFS(1*MID(D349,6,FIND("H",D349,6)-6)&lt;5,"ST140",1*MID(D349,6,FIND("H",D349,6)-6)&lt;8,"ST170",1*MID(D349,6,FIND("H",D349,6)-6)&lt;13,"ST220"),_xlfn.IFS(1*MID(D349,6,FIND("H",D349,6)-6)&lt;4,"ST140",1*MID(D349,6,FIND("H",D349,6)-6)&lt;5,"ST170",1*MID(D349,6,FIND("H",D349,6)-6)&lt;8,"ST220",1*MID(D349,6,FIND("H",D349,6)-6)&lt;20,"非該当"))&amp;"、FCD450相当",OR(MID(D351,1,3)="構造物",MID(D351,1,3)="土留め",MID(D351,1,3)="個別台"),D349&amp;"用"&amp;_xlfn.IFS(MID(D351,1,3)="構造物","",MID(D351,1,3)="土留め",IF(1*MID(D349,4,1)=5,_xlfn.SWITCH(1*MID(D349,6,FIND("H",D349,6)-6),1,"DA110",2,"DA220",3,"DA330",4,"DA440",5,"DA550",6,"DA660",7,"DA770",8,"DA880",9,"DA990",10,"DA1100",11,"DA1210",12,"DA1320"),_xlfn.SWITCH(1*MID(D349,6,FIND("H",D349,6)-6),1,"DA220",2,"DA330",3,"DA550",4,"DA660",5,"DA880",6,"DA990",7,"DA1100",8,"DA1320",9,"DA1410",10,"DA1570",11,"DA1730",12,"DA1880",13,"DA2040",14,"DA2200")),MID(D351,1,3)="個別台",D364)))&amp;IF(OR(D345=0,D349="　",G361=""),"","、"&amp;_xlfn.IFS(MID(D347,1,3)="防食Ⅱ","HDZT77めっき",MID(D347,5,2)="塩害","ｱﾙﾐﾅｲｽﾞ処理",MID(D347,5,2)="酸性","重防食処理"))</f>
        <v>ST140、FCD450相当、重防食処理</v>
      </c>
      <c r="I361" s="52" t="str">
        <f>IF(OR(D345=0,D349="　",G361=""),"","n=1")</f>
        <v>n=1</v>
      </c>
      <c r="J361" s="16" t="str">
        <f>IF(OR(D345=0,D349="　",G361=""),"","台")</f>
        <v>台</v>
      </c>
      <c r="K361" s="32">
        <f>IF(OR(D345=0,D349="　",G361=""),"",1)</f>
        <v>1</v>
      </c>
      <c r="L361" s="68">
        <f>IFERROR(D348*K361,"")</f>
        <v>10</v>
      </c>
    </row>
    <row r="362" spans="2:12" ht="11.1" customHeight="1">
      <c r="B362" s="50" t="s">
        <v>20</v>
      </c>
      <c r="C362" s="10" t="s">
        <v>10</v>
      </c>
      <c r="D362" s="63">
        <f>IF(OR(D345=0,D349="　"),"──",SUM(D355,D359:D361))</f>
        <v>17.2</v>
      </c>
      <c r="F362" s="24">
        <v>18</v>
      </c>
      <c r="G362" s="17" t="str">
        <f>IF(OR(D345=0,D349="　",MID(D351,1,3)&lt;&gt;"のり面",1*MID(D352,1,2)=1,1*MID(D352,1,2)&gt;=5),"","補剛板")</f>
        <v>補剛板</v>
      </c>
      <c r="H362" s="46" t="str" cm="1">
        <f t="array" ref="H362">IF(OR(D345=0,D349="　",G362=""),"",IF(MID(D349,4,1)="5","□"&amp;_xlfn.SWITCH(1*MID(D349,6,FIND("H",D349,6)-6),1,"210φ131t12",2,"210φ131t12",3,"240φ131t12",4,"270φ131t12",5,"280φ143t12",6,"310φ143t16",7,"350φ143t19",8,"350φ180t19",9,"350φ180t19",10,"350φ180t19",11,"350φ180t22",12,"350φ180t22"),"□"&amp;_xlfn.SWITCH(1*MID(D349,6,FIND("H",D349,6)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345=0,D349="　",G362=""),"","、"&amp;_xlfn.IFS(MID(D347,1,3)="防食Ⅱ","HDZT77めっき",MID(D347,5,2)="塩害","ｱﾙﾐﾅｲｽﾞ処理",MID(D347,5,2)="酸性","重防食処理"))</f>
        <v>□240φ131t12、SS400相当、重防食処理</v>
      </c>
      <c r="I362" s="52" t="str">
        <f>IF(OR(D345=0,D349="　",G362=""),"","n=1")</f>
        <v>n=1</v>
      </c>
      <c r="J362" s="16" t="str">
        <f>IF(OR(D345=0,D349="　",G362=""),"","枚")</f>
        <v>枚</v>
      </c>
      <c r="K362" s="32">
        <f>IF(OR(D345=0,D349="　",G362=""),"",1)</f>
        <v>1</v>
      </c>
      <c r="L362" s="68">
        <f>IFERROR(D348*K362,"")</f>
        <v>10</v>
      </c>
    </row>
    <row r="363" spans="2:12" ht="11.1" customHeight="1">
      <c r="B363" s="51" t="s">
        <v>15</v>
      </c>
      <c r="C363" s="12" t="s">
        <v>10</v>
      </c>
      <c r="D363" s="64">
        <f>IF(OR(D345=0,D349="　"),"──",0.25)</f>
        <v>0.25</v>
      </c>
      <c r="F363" s="24">
        <v>19</v>
      </c>
      <c r="G363" s="17" t="str" cm="1">
        <f t="array" ref="G363">_xlfn.IFS(OR(D345=0,D349="　",MID(D350,1,3)="ｱﾙﾐ",1*MID(D352,1,2)=1,1*MID(D352,1,2)&gt;=5),"",MID(D350,1,3)&lt;&gt;"ｱﾙﾐ","テンドン補修用塗料")</f>
        <v>テンドン補修用塗料</v>
      </c>
      <c r="H363" s="38" t="str" cm="1">
        <f t="array" ref="H363">_xlfn.IFS(OR(D345=0,D349="　",MID(D350,1,3)="ｱﾙﾐ",1*MID(D352,1,2)=1,1*MID(D352,1,2)&gt;=5),"",MID(D350,1,3)&lt;&gt;"ｱﾙﾐ","エポキシ樹脂")</f>
        <v>エポキシ樹脂</v>
      </c>
      <c r="I363" s="52" t="str" cm="1">
        <f t="array" ref="I363">_xlfn.IFS(OR(D345=0,D349="　",MID(D350,1,3)="ｱﾙﾐ",1*MID(D352,1,2)=1,1*MID(D352,1,2)&gt;=5),"",MID(D350,1,3)&lt;&gt;"ｱﾙﾐ","W=PC鋼より線本数×"&amp;IF(MID(D349,4,1)="5","0.28","0.4"))</f>
        <v>W=PC鋼より線本数×0.28</v>
      </c>
      <c r="J363" s="16" t="str" cm="1">
        <f t="array" ref="J363">_xlfn.IFS(OR(D345=0,D349="　",MID(D350,1,3)="ｱﾙﾐ",1*MID(D352,1,2)=1,1*MID(D352,1,2)&gt;=5),"",MID(D350,1,3)&lt;&gt;"ｱﾙﾐ","g")</f>
        <v>g</v>
      </c>
      <c r="K363" s="77" cm="1">
        <f t="array" ref="K363">_xlfn.IFS(OR(D345=0,D349="　",MID(D350,1,3)="ｱﾙﾐ",1*MID(D352,1,2)=1,1*MID(D352,1,2)&gt;=5),"",MID(D350,1,3)&lt;&gt;"ｱﾙﾐ",MID(D349,6,FIND("H",D349,6)-6)*IF(MID(D349,4,1)="5",0.28,0.4))</f>
        <v>0.84000000000000008</v>
      </c>
      <c r="L363" s="78">
        <f>IFERROR(D348*K363,"")</f>
        <v>8.4</v>
      </c>
    </row>
    <row r="364" spans="2:12" ht="11.1" customHeight="1">
      <c r="B364" s="65" t="s">
        <v>32</v>
      </c>
      <c r="C364" s="3" t="s">
        <v>33</v>
      </c>
      <c r="D364" s="76"/>
      <c r="F364" s="24">
        <v>20</v>
      </c>
      <c r="G364" s="17" t="str" cm="1">
        <f t="array" ref="G364">_xlfn.IFS(OR(D345=0,D349="　",MID(D350,1,3)="ｱﾙﾐ",1*MID(D352,1,2)=1,1*MID(D352,1,2)&gt;=5),"",MID(D350,1,3)&lt;&gt;"ｱﾙﾐ","長期防錆スプレー")</f>
        <v>長期防錆スプレー</v>
      </c>
      <c r="H364" s="38" t="str" cm="1">
        <f t="array" ref="H364">_xlfn.IFS(OR(D345=0,D349="　",MID(D350,1,3)="ｱﾙﾐ",1*MID(D352,1,2)=1,1*MID(D352,1,2)&gt;=5),"",MID(D350,1,3)&lt;&gt;"ｱﾙﾐ","防錆オイル")</f>
        <v>防錆オイル</v>
      </c>
      <c r="I364" s="52" t="str" cm="1">
        <f t="array" ref="I364">_xlfn.IFS(OR(D345=0,D349="　",MID(D350,1,3)="ｱﾙﾐ",1*MID(D352,1,2)=1,1*MID(D352,1,2)&gt;=5),"",MID(D350,1,3)&lt;&gt;"ｱﾙﾐ","n=0.01×(PC鋼より線本数+"&amp;IF(MID(D349,4,1)="5","6","12")&amp;")")</f>
        <v>n=0.01×(PC鋼より線本数+6)</v>
      </c>
      <c r="J364" s="16" t="str" cm="1">
        <f t="array" ref="J364">_xlfn.IFS(OR(D345=0,D349="　",MID(D350,1,3)="ｱﾙﾐ",1*MID(D352,1,2)=1,1*MID(D352,1,2)&gt;=5),"",MID(D350,1,3)&lt;&gt;"ｱﾙﾐ","缶")</f>
        <v>缶</v>
      </c>
      <c r="K364" s="77" cm="1">
        <f t="array" ref="K364">_xlfn.IFS(OR(D345=0,D349="　",MID(D350,1,3)="ｱﾙﾐ",1*MID(D352,1,2)=1,1*MID(D352,1,2)&gt;=5),"",MID(D350,1,3)&lt;&gt;"ｱﾙﾐ",0.01*(IF(MID(D349,4,1)="5",6,12)+MID(LEFT(D349,LEN(D349)-1),6,2)))</f>
        <v>0.09</v>
      </c>
      <c r="L364" s="78">
        <f>IFERROR(D348*K364,"")</f>
        <v>0.89999999999999991</v>
      </c>
    </row>
    <row r="365" spans="2:12" ht="11.1" customHeight="1">
      <c r="F365" s="24">
        <v>21</v>
      </c>
      <c r="G365" s="17" t="str">
        <f>IF(OR(D345=0,D349="　",1*MID(D352,1,2)&lt;=1,1*MID(D352,1,2)=3,,1*MID(D352,1,2)=6),"","ﾌﾘｰﾊﾟｯｶｰ注入ﾎｰｽ")</f>
        <v/>
      </c>
      <c r="H365" s="29" t="str">
        <f>IF(OR(D345=0,D349="　",1*MID(D352,1,2)&lt;=1,1*MID(D352,1,2)=3,,1*MID(D352,1,2)=6),"","φ16/20、ポリエチレン")</f>
        <v/>
      </c>
      <c r="I365" s="29" t="str">
        <f>IF(OR(D345=0,D349="　",1*MID(D352,1,2)&lt;=1,1*MID(D352,1,2)=3,,1*MID(D352,1,2)=6),"","L=自由長+緊張部長")</f>
        <v/>
      </c>
      <c r="J365" s="16" t="str">
        <f>IF(OR(D345=0,D349="　",1*MID(D352,1,2)&lt;=1,1*MID(D352,1,2)=3,,1*MID(D352,1,2)=6),"","m")</f>
        <v/>
      </c>
      <c r="K365" s="30" t="str">
        <f>IF(OR(D345=0,D349="　",1*MID(D352,1,2)&lt;=1,1*MID(D352,1,2)=3,,1*MID(D352,1,2)=6),"",D359+D360)</f>
        <v/>
      </c>
      <c r="L365" s="67" t="str">
        <f>IFERROR(D348*K365,"")</f>
        <v/>
      </c>
    </row>
    <row r="366" spans="2:12" ht="11.1" customHeight="1">
      <c r="F366" s="24">
        <v>22</v>
      </c>
      <c r="G366" s="17" t="str">
        <f>IF(OR(D345=0,D349="　",1*MID(D352,1,2)&lt;=1,1*MID(D352,1,2)=3,,1*MID(D352,1,2)=6),"","フリーパッカー")</f>
        <v/>
      </c>
      <c r="H366" s="52" t="str" cm="1">
        <f t="array" ref="H366">IF(OR(D345=0,D349="　",1*MID(D352,1,2)&lt;=1,1*MID(D352,1,2)=3,1*MID(D352,1,2)=6),"",_xlfn.SWITCH(D356,90,"PA-170",115,"PA-200",135,"PA-240",146,"PA-290",165,"PA-350",216,"PA-420")&amp;"、織布")</f>
        <v/>
      </c>
      <c r="I366" s="52" t="str">
        <f>IF(OR(D345=0,D349="　",1*MID(D352,1,2)&lt;=1,1*MID(D352,1,2)=3,1*MID(D352,1,2)=6),"","L=自由長+0.5")</f>
        <v/>
      </c>
      <c r="J366" s="16" t="str">
        <f>IF(OR(D345=0,D349="　",1*MID(D352,1,2)&lt;=1,1*MID(D352,1,2)=3,,1*MID(D352,1,2)=6),"","m")</f>
        <v/>
      </c>
      <c r="K366" s="30" t="str">
        <f>IF(OR(D345=0,D349="　",1*MID(D352,1,2)&lt;=1,1*MID(D352,1,2)=3,,1*MID(D352,1,2)=6),"",D359+0.5)</f>
        <v/>
      </c>
      <c r="L366" s="69" t="str">
        <f>IFERROR(D348*K366,"")</f>
        <v/>
      </c>
    </row>
    <row r="367" spans="2:12" ht="11.1" customHeight="1">
      <c r="F367" s="24">
        <v>23</v>
      </c>
      <c r="G367" s="17" t="str">
        <f>IF(OR(D345=0,D349="　",1*MID(D352,1,2)&lt;=1,1*MID(D352,1,2)=3,,1*MID(D352,1,2)=6),"","ﾌﾘｰﾊﾟｯｶｰ取付加工")</f>
        <v/>
      </c>
      <c r="H367" s="29" t="str">
        <f>IF(OR(D345=0,D349="　",1*MID(D352,1,2)&lt;=1,1*MID(D352,1,2)=3,,1*MID(D352,1,2)=6),"","材工")</f>
        <v/>
      </c>
      <c r="I367" s="29" t="str">
        <f>IF(OR(D345=0,D349="　",1*MID(D352,1,2)&lt;=1,1*MID(D352,1,2)=3,,1*MID(D352,1,2)=6),"","n=1")</f>
        <v/>
      </c>
      <c r="J367" s="16" t="str">
        <f>IF(OR(D345=0,D349="　",1*MID(D352,1,2)&lt;=1,1*MID(D352,1,2)=3,,1*MID(D352,1,2)=6),"","式")</f>
        <v/>
      </c>
      <c r="K367" s="32" t="str">
        <f>IF(OR(D345=0,D349="　",1*MID(D352,1,2)&lt;=1,1*MID(D352,1,2)=3,,1*MID(D352,1,2)=6),"",1)</f>
        <v/>
      </c>
      <c r="L367" s="70" t="str">
        <f>IFERROR(D348*K367,"")</f>
        <v/>
      </c>
    </row>
    <row r="368" spans="2:12" ht="11.1" customHeight="1">
      <c r="F368" s="24">
        <v>24</v>
      </c>
      <c r="G368" s="17" t="str">
        <f>IF(OR(D345=0,D349="　",1*MID(D352,1,2)&lt;=2,1*MID(D352,1,2)=5),"","フリクションパッカー")</f>
        <v/>
      </c>
      <c r="H368" s="38" t="str" cm="1">
        <f t="array" ref="H368">IF(OR(D345=0,D349="　",1*MID(D352,1,2)&lt;=2,1*MID(D352,1,2)=5),"",_xlfn.SWITCH(D356,90,"FP125",115,"FP125",135,"FP150",146,"FP175",165,"FP200",216,"FP235")&amp;"、パイレン布")</f>
        <v/>
      </c>
      <c r="I368" s="38" t="str">
        <f>IF(OR(D345=0,D349="　",1*MID(D352,1,2)&lt;=2,1*MID(D352,1,2)=5),"","L=アンカー体長+0.5")</f>
        <v/>
      </c>
      <c r="J368" s="16" t="str">
        <f>IF(OR(D345=0,D349="　",1*MID(D352,1,2)&lt;=2,1*MID(D352,1,2)=5),"","m")</f>
        <v/>
      </c>
      <c r="K368" s="30" t="str">
        <f>IF(OR(D345=0,D349="　",1*MID(D352,1,2)&lt;=2,1*MID(D352,1,2)=5),"",D355+0.5)</f>
        <v/>
      </c>
      <c r="L368" s="68" t="str">
        <f>IFERROR(D348*K368,"")</f>
        <v/>
      </c>
    </row>
    <row r="369" spans="2:12" ht="11.1" customHeight="1">
      <c r="F369" s="24">
        <v>25</v>
      </c>
      <c r="G369" s="17" t="str">
        <f>IF(OR(D345=0,D349="　",1*MID(D352,1,2)&lt;=2,1*MID(D352,1,2)=5),"","ﾌﾘｸｼｮﾝﾊﾟｯｶｰ取付加工")</f>
        <v/>
      </c>
      <c r="H369" s="29" t="str">
        <f>IF(OR(D345=0,D349="　",1*MID(D352,1,2)&lt;=2,1*MID(D352,1,2)=5),"","材工")</f>
        <v/>
      </c>
      <c r="I369" s="29" t="str">
        <f>IF(OR(D345=0,D349="　",1*MID(D352,1,2)&lt;=2,1*MID(D352,1,2)=5),"","n=1")</f>
        <v/>
      </c>
      <c r="J369" s="16" t="str">
        <f>IF(OR(D345=0,D349="　",1*MID(D352,1,2)&lt;=2,1*MID(D352,1,2)=5),"","式")</f>
        <v/>
      </c>
      <c r="K369" s="32" t="str">
        <f>IF(OR(D345=0,D349="　",1*MID(D352,1,2)&lt;=2,1*MID(D352,1,2)=5),"",1)</f>
        <v/>
      </c>
      <c r="L369" s="70" t="str">
        <f>IFERROR(D348*K369,"")</f>
        <v/>
      </c>
    </row>
    <row r="370" spans="2:12" ht="11.1" customHeight="1">
      <c r="F370" s="24">
        <v>26</v>
      </c>
      <c r="G370" s="17" t="str">
        <f>IF(OR(D345=0,D349="　",1*MID(D352,1,2)=0,1*MID(D352,1,2)=2,1*MID(D352,1,2)=3,1*MID(D352,1,2)=4),"","試験ﾊﾟｯｶｰ水注入ﾎｰｽ")</f>
        <v/>
      </c>
      <c r="H370" s="38" t="str">
        <f>IF(OR(D345=0,D349="　",1*MID(D352,1,2)=0,1*MID(D352,1,2)=2,1*MID(D352,1,2)=3,1*MID(D352,1,2)=4),"","φ4/6、ナイロン")</f>
        <v/>
      </c>
      <c r="I370" s="38" t="str">
        <f>IF(OR(D345=0,D349="　",1*MID(D352,1,2)=0,1*MID(D352,1,2)=2,1*MID(D352,1,2)=3,1*MID(D352,1,2)=4),"","L=自由長+緊張部長")</f>
        <v/>
      </c>
      <c r="J370" s="79" t="str">
        <f>IF(OR(D345=0,D349="　",1*MID(D352,1,2)=0,1*MID(D352,1,2)=2,1*MID(D352,1,2)=3,1*MID(D352,1,2)=4),"","m")</f>
        <v/>
      </c>
      <c r="K370" s="80" t="str">
        <f>IF(OR(D345=0,D349="　",1*MID(D352,1,2)=0,1*MID(D352,1,2)=2,1*MID(D352,1,2)=3,1*MID(D352,1,2)=4),"",D359+D360)</f>
        <v/>
      </c>
      <c r="L370" s="81" t="str">
        <f>IFERROR(D348*K370,"")</f>
        <v/>
      </c>
    </row>
    <row r="371" spans="2:12" ht="11.1" customHeight="1">
      <c r="F371" s="24">
        <v>27</v>
      </c>
      <c r="G371" s="17" t="str">
        <f>IF(OR(D345=0,D349="　",1*MID(D352,1,2)=0,1*MID(D352,1,2)=2,1*MID(D352,1,2)=3,1*MID(D352,1,2)=4),"","引抜試験パッカー")</f>
        <v/>
      </c>
      <c r="H371" s="38" t="str" cm="1">
        <f t="array" ref="H371">IF(OR(D345=0,D349="　",1*MID(D352,1,2)=0,1*MID(D352,1,2)=2,1*MID(D352,1,2)=3,1*MID(D352,1,2)=4),"",_xlfn.SWITCH(D356,90,"PU90",115,"PU115",135,"PU135",146,"PU146",165,"PU165")&amp;"、3層構造(鋼管･ゴム･布)")</f>
        <v/>
      </c>
      <c r="I371" s="38" t="str">
        <f>IF(OR(D345=0,D349="　",1*MID(D352,1,2)=0,1*MID(D352,1,2)=2,1*MID(D352,1,2)=3,1*MID(D352,1,2)=4),"","n=1")</f>
        <v/>
      </c>
      <c r="J371" s="79" t="str">
        <f>IF(OR(D345=0,D349="　",1*MID(D352,1,2)=0,1*MID(D352,1,2)=2,1*MID(D352,1,2)=3,1*MID(D352,1,2)=4),"","式")</f>
        <v/>
      </c>
      <c r="K371" s="32" t="str" cm="1">
        <f t="array" ref="K371">IF(OR(D345=0,D349="　",1*MID(D352,1,2)=0,1*MID(D352,1,2)=2,1*MID(D352,1,2)=3,1*MID(D352,1,2)=4),"",_xlfn.IFS(OR(1*MID(D352,1,2)=1,1*MID(D352,1,2)&gt;=5),1))</f>
        <v/>
      </c>
      <c r="L371" s="68" t="str">
        <f>IFERROR(D348*K371,"")</f>
        <v/>
      </c>
    </row>
    <row r="372" spans="2:12" ht="11.1" customHeight="1">
      <c r="F372" s="24">
        <v>28</v>
      </c>
      <c r="G372" s="17" t="str">
        <f>IF(OR(D345=0,D349="　",1*MID(D352,1,2)=0,1*MID(D352,1,2)=2,1*MID(D352,1,2)=3,1*MID(D352,1,2)=4),"","引抜試験パッカー取付加工")</f>
        <v/>
      </c>
      <c r="H372" s="38" t="str">
        <f>IF(OR(D345=0,D349="　",1*MID(D352,1,2)=0,1*MID(D352,1,2)=2,1*MID(D352,1,2)=3,1*MID(D352,1,2)=4),"","材工")</f>
        <v/>
      </c>
      <c r="I372" s="38" t="str">
        <f>IF(OR(D345=0,D349="　",1*MID(D352,1,2)=0,1*MID(D352,1,2)=2,1*MID(D352,1,2)=3,1*MID(D352,1,2)=4),"","n=1")</f>
        <v/>
      </c>
      <c r="J372" s="79" t="str" cm="1">
        <f t="array" ref="J372">IF(OR(D345=0,D349="　",1*MID(D352,1,2)=0,1*MID(D352,1,2)=2,1*MID(D352,1,2)=3,1*MID(D352,1,2)=4),"",_xlfn.IFS(OR(1*MID(D352,1,2)=1,1*MID(D352,1,2)&gt;=5),"式"))</f>
        <v/>
      </c>
      <c r="K372" s="32" t="str" cm="1">
        <f t="array" ref="K372">IF(OR(D345=0,D349="　",1*MID(D352,1,2)=0,1*MID(D352,1,2)=2,1*MID(D352,1,2)=3,1*MID(D352,1,2)=4),"",_xlfn.IFS(OR(1*MID(D352,1,2)=1,1*MID(D352,1,2)&gt;=5),1))</f>
        <v/>
      </c>
      <c r="L372" s="68" t="str">
        <f>IFERROR(D348*K372,"")</f>
        <v/>
      </c>
    </row>
    <row r="373" spans="2:12" ht="11.1" customHeight="1">
      <c r="F373" s="24">
        <v>29</v>
      </c>
      <c r="G373" s="17" t="str">
        <f>IF(OR(D345=0,D349="　",1*MID(D352,1,2)=0,1*MID(D352,1,2)=2,1*MID(D352,1,2)=3,1*MID(D352,1,2)=4),"","自由長洗浄ﾎｰｽ")</f>
        <v/>
      </c>
      <c r="H373" s="38" t="str">
        <f>IF(OR(D345=0,D349="　",1*MID(D352,1,2)=0,1*MID(D352,1,2)=2,1*MID(D352,1,2)=3,1*MID(D352,1,2)=4),"","φ16/20、ポリエチレン")</f>
        <v/>
      </c>
      <c r="I373" s="38" t="str">
        <f>IF(OR(D345=0,D349="　",1*MID(D352,1,2)=0,1*MID(D352,1,2)=2,1*MID(D352,1,2)=3,1*MID(D352,1,2)=4),"","L=自由長+0.5")</f>
        <v/>
      </c>
      <c r="J373" s="79" t="str">
        <f>IF(OR(D345=0,D349="　",1*MID(D352,1,2)=0,1*MID(D352,1,2)=2,1*MID(D352,1,2)=3,1*MID(D352,1,2)=4),"","m")</f>
        <v/>
      </c>
      <c r="K373" s="32" t="str">
        <f>IF(OR(D345=0,D349="　",1*MID(D352,1,2)=0,1*MID(D352,1,2)=2,1*MID(D352,1,2)=3,1*MID(D352,1,2)=4),"",D359+0.5)</f>
        <v/>
      </c>
      <c r="L373" s="81" t="str">
        <f>IFERROR(D348*K373,"")</f>
        <v/>
      </c>
    </row>
    <row r="374" spans="2:12" ht="11.1" customHeight="1">
      <c r="D374" s="1" t="s">
        <v>9</v>
      </c>
      <c r="F374" s="56">
        <v>30</v>
      </c>
      <c r="G374" s="82" t="str">
        <f>IF(OR(D345=0,D349="　",1*MID(D352,1,2)&lt;=2,1*MID(D352,1,2)=5,MID(D374,6,2)&lt;&gt;"あり"),"","確認ホース")</f>
        <v/>
      </c>
      <c r="H374" s="83" t="str">
        <f>IF(OR(D345=0,D349="　",1*MID(D352,1,2)&lt;=2,1*MID(D352,1,2)=5,MID(D374,6,2)&lt;&gt;"あり"),"","φ17、ポリエチレン")</f>
        <v/>
      </c>
      <c r="I374" s="83"/>
      <c r="J374" s="84" t="str">
        <f>IF(OR(D345=0,D349="　",1*MID(D352,1,2)&lt;=2,1*MID(D352,1,2)=5,MID(D374,6,2)&lt;&gt;"あり"),"","m")</f>
        <v/>
      </c>
      <c r="K374" s="85" t="str">
        <f>IF(OR(D344=0,D349="　",1*MID(D352,1,2)&lt;=2,1*MID(D352,1,2)=5,MID(D374,6,2)&lt;&gt;"あり"),"",0.5+MROUND(D359+D361,0.1))</f>
        <v/>
      </c>
      <c r="L374" s="86" t="str">
        <f>IFERROR(D348*K374,"")</f>
        <v/>
      </c>
    </row>
    <row r="376" spans="2:12" ht="11.1" customHeight="1">
      <c r="B376" s="19" t="s">
        <v>1</v>
      </c>
      <c r="D376" s="4"/>
      <c r="G376" s="73" t="s">
        <v>39</v>
      </c>
    </row>
    <row r="377" spans="2:12" ht="11.1" customHeight="1">
      <c r="G377" s="99">
        <f>D378</f>
        <v>12</v>
      </c>
      <c r="H377" s="55" t="str">
        <f>IF(D379=0,"",D380&amp;" "&amp;D383&amp; "："&amp;TEXT(D396,"L=##0.00")&amp;"m"&amp;TEXT(D394,",L1=##0.00")&amp;"m"&amp;TEXT(D393,",Lf=##0.00")&amp;"m"&amp;TEXT(D389,",LA=##0.00")&amp;"m"&amp;TEXT(D395,",L2=##0.00")&amp;"m")</f>
        <v>(12)1段/2段 EHD5-3H：L=17.20m,L1=1.00m,Lf=9.00m,LA=7.00m,L2=0.20m</v>
      </c>
      <c r="I377" s="55"/>
      <c r="J377" s="18"/>
    </row>
    <row r="378" spans="2:12" ht="11.1" customHeight="1">
      <c r="B378" s="13" t="s">
        <v>2</v>
      </c>
      <c r="C378" s="3" t="s">
        <v>3</v>
      </c>
      <c r="D378" s="98">
        <f>1+(ROW()-ROW($D$4))/34</f>
        <v>12</v>
      </c>
      <c r="F378" s="20"/>
      <c r="G378" s="21" t="s">
        <v>21</v>
      </c>
      <c r="H378" s="22" t="s">
        <v>22</v>
      </c>
      <c r="I378" s="22" t="s">
        <v>38</v>
      </c>
      <c r="J378" s="23" t="s">
        <v>23</v>
      </c>
      <c r="K378" s="22" t="s">
        <v>24</v>
      </c>
      <c r="L378" s="3" t="s">
        <v>4</v>
      </c>
    </row>
    <row r="379" spans="2:12" ht="11.1" customHeight="1">
      <c r="B379" s="28" t="s">
        <v>25</v>
      </c>
      <c r="C379" s="5" t="s">
        <v>26</v>
      </c>
      <c r="D379" s="6">
        <v>1</v>
      </c>
      <c r="F379" s="24">
        <v>1</v>
      </c>
      <c r="G379" s="25" t="str">
        <f>IF(OR(D379=0,D383="　"),"","硅砂付着ECFﾃﾝﾄﾞﾝ")</f>
        <v>硅砂付着ECFﾃﾝﾄﾞﾝ</v>
      </c>
      <c r="H379" s="26" t="str">
        <f>IF(OR(D379=0,D383="　"),"",D383&amp;" ("&amp;MID(D383,6,FIND("H",D383,6)-6)&amp;IF(MID(D383,4,1)="5","φ12.7","φ15.2")&amp;")")</f>
        <v>EHD5-3H (3φ12.7)</v>
      </c>
      <c r="I379" s="57" t="str">
        <f>IF(OR(D379=0,D383="　"),"","W=テンドン長×PC鋼より線本数×"&amp;IF(MID(D383,4,1)="5","0.774","1.101")&amp;"kg/m")</f>
        <v>W=テンドン長×PC鋼より線本数×0.774kg/m</v>
      </c>
      <c r="J379" s="14" t="str">
        <f>IF(OR(D379=0,D383="　"),"","kg")</f>
        <v>kg</v>
      </c>
      <c r="K379" s="27">
        <f>IF(OR(D379=0,D383="　"),"",MROUND(D396*MID(D383,6,FIND("H",D383,6)-6)*IF(MID(D383,4,1)="5","0.774","1.101"),0.01))</f>
        <v>39.94</v>
      </c>
      <c r="L379" s="15">
        <f>IFERROR(D382*K379,"")</f>
        <v>399.4</v>
      </c>
    </row>
    <row r="380" spans="2:12" ht="11.1" customHeight="1">
      <c r="B380" s="31" t="s">
        <v>45</v>
      </c>
      <c r="C380" s="71" t="s">
        <v>6</v>
      </c>
      <c r="D380" s="74" t="s">
        <v>98</v>
      </c>
      <c r="F380" s="24">
        <v>2</v>
      </c>
      <c r="G380" s="17" t="str">
        <f>IF(OR(D379=0,D383="　"),"","アンカー工場加工")</f>
        <v>アンカー工場加工</v>
      </c>
      <c r="H380" s="29"/>
      <c r="I380" s="46" t="str">
        <f>IF(OR(D379=0,D383="　"),"","L=テンドン長")</f>
        <v>L=テンドン長</v>
      </c>
      <c r="J380" s="16" t="str">
        <f>IF(OR(D379=0,D383="　"),"","m")</f>
        <v>m</v>
      </c>
      <c r="K380" s="30">
        <f>IF(OR(D379=0,D383="　"),"",MROUND(D396,0.1))</f>
        <v>17.2</v>
      </c>
      <c r="L380" s="67">
        <f>IFERROR(D382*K380,"")</f>
        <v>172</v>
      </c>
    </row>
    <row r="381" spans="2:12" ht="11.1" customHeight="1">
      <c r="B381" s="34" t="s">
        <v>7</v>
      </c>
      <c r="C381" s="49" t="s">
        <v>6</v>
      </c>
      <c r="D381" s="2" t="s">
        <v>34</v>
      </c>
      <c r="F381" s="24">
        <v>3</v>
      </c>
      <c r="G381" s="17" t="str">
        <f>IF(OR(D379=0,D383="　",1*MID(D386,1,2)=1,1*MID(D386,1,2)&gt;=5),"","頭部キャップ")</f>
        <v>頭部キャップ</v>
      </c>
      <c r="H381" s="29" t="str" cm="1">
        <f t="array" ref="H381">IF(OR(D379=0,D383="　",1*MID(D386,1,2)=1,1*MID(D386,1,2)&gt;=5),"",IF(MID(D383,4,1)="5",_xlfn.SWITCH(1*MID(D383,6,FIND("H",D383,6)-6),1,"S",2,"S",3,"S",4,"S",5,"M",6,"M",7,"M",8,"L",9,"L",10,"L",11,"L",12,"L"),_xlfn.SWITCH(1*MID(D383,6,FIND("H",D383,6)-6),1,"S",2,"S",3,"M",4,"M",5,"L",6,"L",7,"L",8,"LL",9,"LL",10,"LL",11,"LL",12,"LL",13,"LL",14,"LL",15,"3L",16,"3L",17,"3L",18,"3L",19,"3L"))&amp;"型"&amp;MID(D384,IF(MID(D384,1,1)="G",4,1),10)&amp;IF(OR(MID(D384,1,2)="透明",MID(D384,1,2)="5窓"),"、PC樹脂","")&amp;IF(MID(D384,4,2)="鋼製","、SS400相当、HDZT77めっき","、ｱﾙﾐAC4C相当"))&amp;_xlfn.IFS(OR(D379=0,D383="　",MID(D381,1,3)="防食Ⅱ"),"",MID(D381,5,2)="塩害","、ﾀｹｺｰﾄ処理",MID(D381,5,2)="酸性","、重防食処理")</f>
        <v>S型透明ｷｬｯﾌﾟ、PC樹脂、ｱﾙﾐAC4C相当</v>
      </c>
      <c r="I381" s="52" t="str">
        <f>IF(OR(D379=0,D383="　",1*MID(D386,1,2)=1,1*MID(D386,1,2)&gt;=5),"","n=1")</f>
        <v>n=1</v>
      </c>
      <c r="J381" s="16" t="str">
        <f>IF(OR(D379=0,D383="　",1*MID(D386,1,2)=1,1*MID(D386,1,2)&gt;=5),"","個")</f>
        <v>個</v>
      </c>
      <c r="K381" s="32">
        <f>IF(OR(D379=0,D383="　",1*MID(D386,1,2)=1,1*MID(D386,1,2)&gt;=5),"",1)</f>
        <v>1</v>
      </c>
      <c r="L381" s="68">
        <f>IFERROR(D382*K381,"")</f>
        <v>10</v>
      </c>
    </row>
    <row r="382" spans="2:12" ht="11.1" customHeight="1">
      <c r="B382" s="31" t="s">
        <v>27</v>
      </c>
      <c r="C382" s="10" t="s">
        <v>5</v>
      </c>
      <c r="D382" s="75">
        <v>10</v>
      </c>
      <c r="F382" s="24">
        <v>4</v>
      </c>
      <c r="G382" s="17" t="str">
        <f>IF(OR(D379=0,D383="　",1*MID(D386,1,2)=1,1*MID(D386,1,2)&gt;=5),"","アンカーヘッド")</f>
        <v>アンカーヘッド</v>
      </c>
      <c r="H382" s="29" t="str" cm="1">
        <f t="array" ref="H382">IF(OR(D379=0,D383="　",1*MID(D386,1,2)=1,1*MID(D386,1,2)&gt;=5),"",IF(MID(D383,4,1)="5","G5"&amp;_xlfn.SWITCH(1*MID(D383,6,FIND("H",D383,6)-6),1,"01",2,"02",3,"03",4,"04",5,"07",6,"07",7,"07",8,"09",9,"09",10,"12",11,"12",12,"12"),"G6"&amp;_xlfn.SWITCH(1*MID(D383,6,FIND("H",D383,6)-6),1,"01",2,"02",3,"03",4,"04",5,"07",6,"07",7,"07",8,"09",9,"09",10,"12",11,"12",12,"12",13,"14",14,"14",15,"19",16,"19",17,"19",18,"19",19,"19"))&amp;"、S45C相当")&amp;IF(OR(D379=0,D383="　",MID(D384,1,3)="ｱﾙﾐ",1*MID(D386,1,2)=1,1*MID(D386,1,2)&gt;=5),"","、無電解Niめっき")</f>
        <v>G503、S45C相当、無電解Niめっき</v>
      </c>
      <c r="I382" s="52" t="str">
        <f>IF(OR(D379=0,D383="　",1*MID(D386,1,2)=1,1*MID(D386,1,2)&gt;=5),"","n=1")</f>
        <v>n=1</v>
      </c>
      <c r="J382" s="16" t="str">
        <f>IF(OR(D379=0,D383="　",1*MID(D386,1,2)=1,1*MID(D386,1,2)&gt;=5),"","個")</f>
        <v>個</v>
      </c>
      <c r="K382" s="32">
        <f>IF(OR(D379=0,D383="　",1*MID(D386,1,2)=1,1*MID(D386,1,2)&gt;=5),"",1)</f>
        <v>1</v>
      </c>
      <c r="L382" s="68">
        <f>IFERROR(D382*K382,"")</f>
        <v>10</v>
      </c>
    </row>
    <row r="383" spans="2:12" ht="11.1" customHeight="1">
      <c r="B383" s="33" t="s">
        <v>28</v>
      </c>
      <c r="C383" s="71" t="s">
        <v>6</v>
      </c>
      <c r="D383" s="7" t="s">
        <v>0</v>
      </c>
      <c r="F383" s="24">
        <v>5</v>
      </c>
      <c r="G383" s="17" t="str">
        <f>IF(OR(D379=0,D383="　",1*MID(D386,1,2)=1,1*MID(D386,1,2)&gt;=5),"","ナット")</f>
        <v>ナット</v>
      </c>
      <c r="H383" s="29" t="str" cm="1">
        <f t="array" ref="H383">IF(OR(D379=0,D383="　",1*MID(D386,1,2)=1,1*MID(D386,1,2)&gt;=5),"",IF(MID(D383,4,1)="5","G5"&amp;_xlfn.SWITCH(1*MID(D383,6,FIND("H",D383,6)-6),1,"01",2,"02",3,"03",4,"04",5,"07",6,"07",7,"07",8,"09",9,"09",10,"12",11,"12",12,"12"),"G6"&amp;_xlfn.SWITCH(1*MID(D383,6,FIND("H",D383,6)-6),1,"01",2,"02",3,"03",4,"04",5,"07",6,"07",7,"07",8,"09",9,"09",10,"12",11,"12",12,"12",13,"14",14,"14",15,"19",16,"19",17,"19",18,"19",19,"19"))&amp;"、S45C相当")&amp;IF(OR(D379=0,D383="　",MID(D384,1,3)="ｱﾙﾐ",1*MID(D386,1,2)=1,1*MID(D386,1,2)&gt;=5),"","、無電解Niめっき")</f>
        <v>G503、S45C相当、無電解Niめっき</v>
      </c>
      <c r="I383" s="52" t="str">
        <f>IF(OR(D379=0,D383="　",1*MID(D386,1,2)=1,1*MID(D386,1,2)&gt;=5),"","n=1")</f>
        <v>n=1</v>
      </c>
      <c r="J383" s="16" t="str">
        <f>IF(OR(D379=0,D383="　",1*MID(D386,1,2)=1,1*MID(D386,1,2)&gt;=5),"","個")</f>
        <v>個</v>
      </c>
      <c r="K383" s="32">
        <f>IF(OR(D379=0,D383="　",1*MID(D386,1,2)=1,1*MID(D386,1,2)&gt;=5),"",1)</f>
        <v>1</v>
      </c>
      <c r="L383" s="68">
        <f>IFERROR(D382*K383,"")</f>
        <v>10</v>
      </c>
    </row>
    <row r="384" spans="2:12" ht="11.1" customHeight="1">
      <c r="B384" s="35" t="s">
        <v>29</v>
      </c>
      <c r="C384" s="49" t="s">
        <v>6</v>
      </c>
      <c r="D384" s="2" t="s">
        <v>35</v>
      </c>
      <c r="F384" s="24">
        <v>6</v>
      </c>
      <c r="G384" s="17" t="str">
        <f>IF(OR(D379=0,D383="　",1*MID(D386,1,2)=1,1*MID(D386,1,2)&gt;=5),"","くさび")</f>
        <v>くさび</v>
      </c>
      <c r="H384" s="29" t="str">
        <f>IF(OR(D379=0,D383="　",1*MID(D386,1,2)=1,1*MID(D386,1,2)&gt;=5),"",IF(1*MID(D383,4,1)=5,"ECF12.7","ECF15.2")&amp;"、SCM415相当")&amp;IF(OR(D379=0,D383="　",MID(D384,1,3)="ｱﾙﾐ",1*MID(D386,1,2)=1,1*MID(D386,1,2)&gt;=5),"","、無電解Niめっき")</f>
        <v>ECF12.7、SCM415相当、無電解Niめっき</v>
      </c>
      <c r="I384" s="52" t="str">
        <f>IF(OR(D379=0,D383="　",1*MID(D386,1,2)=1,1*MID(D386,1,2)&gt;=5),"","n=1")</f>
        <v>n=1</v>
      </c>
      <c r="J384" s="16" t="str">
        <f>IF(OR(D379=0,D383="　",1*MID(D386,1,2)=1,1*MID(D386,1,2)&gt;=5),"","式")</f>
        <v>式</v>
      </c>
      <c r="K384" s="32">
        <f>IF(OR(D379=0,D383="　",1*MID(D386,1,2)=1,1*MID(D386,1,2)&gt;=5),"",1)</f>
        <v>1</v>
      </c>
      <c r="L384" s="68">
        <f>IFERROR(D382*K384,"")</f>
        <v>10</v>
      </c>
    </row>
    <row r="385" spans="2:12" ht="11.1" customHeight="1">
      <c r="B385" s="35" t="s">
        <v>8</v>
      </c>
      <c r="C385" s="49" t="s">
        <v>6</v>
      </c>
      <c r="D385" s="2" t="s">
        <v>36</v>
      </c>
      <c r="F385" s="24">
        <v>7</v>
      </c>
      <c r="G385" s="17" t="str">
        <f>IF(OR(D379=0,D383="　",1*MID(D386,1,2)=1,1*MID(D386,1,2)&gt;=5),"","押え板")</f>
        <v>押え板</v>
      </c>
      <c r="H385" s="29" t="str" cm="1">
        <f t="array" ref="H385">IF(OR(D379=0,D383="　",1*MID(D386,1,2)=1,1*MID(D386,1,2)&gt;=5),"",IF(MID(D383,4,1)="5","G5"&amp;_xlfn.SWITCH(1*MID(D383,6,FIND("H",D383,6)-6),1,"01",2,"04",3,"03",4,"04",5,"07",6,"07",7,"07",8,"12",9,"12",10,"12",11,"12",12,"12"),"G6"&amp;_xlfn.SWITCH(1*MID(D383,6,FIND("H",D383,6)-6),1,"01",2,"02",3,"03",4,"04",5,"07",6,"07",7,"07",8,"12",9,"12",10,"12",11,"12",12,"12",13,"14",14,"14",15,"19",16,"19",17,"19",18,"19",19,"19"))&amp;"、SS400相当")&amp;IF(OR(D379=0,D383="　",1*MID(D386,1,2)=1,1*MID(D386,1,2)&gt;=5),"","、"&amp;_xlfn.IFS(MID(D381,1,3)="防食Ⅱ","HDZT77めっき",MID(D381,5,2)="塩害","ｱﾙﾐﾅｲｽﾞ処理",MID(D381,5,2)="酸性","重防食処理"))</f>
        <v>G503、SS400相当、HDZT77めっき</v>
      </c>
      <c r="I385" s="52" t="str">
        <f>IF(OR(D379=0,D383="　",1*MID(D386,1,2)=1,1*MID(D386,1,2)&gt;=5),"","n=1")</f>
        <v>n=1</v>
      </c>
      <c r="J385" s="16" t="str">
        <f>IF(OR(D379=0,D383="　",1*MID(D386,1,2)=1,1*MID(D386,1,2)&gt;=5),"","枚")</f>
        <v>枚</v>
      </c>
      <c r="K385" s="32">
        <f>IF(OR(D379=0,D383="　",1*MID(D386,1,2)=1,1*MID(D386,1,2)&gt;=5),"",1)</f>
        <v>1</v>
      </c>
      <c r="L385" s="68">
        <f>IFERROR(D382*K385,"")</f>
        <v>10</v>
      </c>
    </row>
    <row r="386" spans="2:12" ht="11.1" customHeight="1">
      <c r="B386" s="36" t="s">
        <v>87</v>
      </c>
      <c r="C386" s="72" t="s">
        <v>6</v>
      </c>
      <c r="D386" s="8" t="s">
        <v>42</v>
      </c>
      <c r="F386" s="24">
        <v>8</v>
      </c>
      <c r="G386" s="17" t="str">
        <f>IF(OR(D379=0,D383="　"),"",IF(OR(1*MID(D386,1,2)=1,1*MID(D386,1,2)&gt;=5,MID(D385,1,3)&lt;&gt;"のり面"),"","管付")&amp;"支圧板")</f>
        <v>管付支圧板</v>
      </c>
      <c r="H386" s="29" t="str" cm="1">
        <f t="array" ref="H386">IF(OR(D379=0,D383="　"),"","PL"&amp;IF(OR(1*MID(D386,1,2)=1,1*MID(D386,1,2)&gt;=5,MID(D385,1,3)&lt;&gt;"のり面"),"","P")&amp;IF(MID(D383,4,1)="5","5-"&amp;_xlfn.SWITCH(1*MID(D383,6,FIND("H",D383,6)-6),1,"1",2,"2",3,"3",4,"4",5,"5",6,"6",7,"7",8,"9",9,"9",10,"10",11,"11",12,"12"),"6-"&amp;_xlfn.SWITCH(1*MID(D383,6,FIND("H",D383,6)-6),1,"1",2,"2",3,"3",4,"4",5,"6",6,"6",7,"7",8,"8",9,"9",10,"10",11,"11",12,"12",13,"14",14,"14",15,"16",16,"16",17,"17",18,"18",19,"19"))&amp;"、SS400相当")&amp;IF(OR(D379=0,D383="　"),"","、"&amp;_xlfn.IFS(MID(D381,1,3)="防食Ⅱ","HDZT77めっき",MID(D381,5,2)="塩害","ｱﾙﾐﾅｲｽﾞ処理",MID(D381,5,2)="酸性","重防食処理"))</f>
        <v>PLP5-3、SS400相当、HDZT77めっき</v>
      </c>
      <c r="I386" s="52" t="str">
        <f>IF(OR(D379=0,D383="　"),"","n=1")</f>
        <v>n=1</v>
      </c>
      <c r="J386" s="16" t="str">
        <f>IF(OR(D379=0,D383="　"),"","枚")</f>
        <v>枚</v>
      </c>
      <c r="K386" s="32">
        <f>IF(OR(D379=0,D383="　"),"",1)</f>
        <v>1</v>
      </c>
      <c r="L386" s="68">
        <f>IFERROR(D382*K386,"")</f>
        <v>10</v>
      </c>
    </row>
    <row r="387" spans="2:12" ht="11.1" customHeight="1">
      <c r="B387" s="37" t="str" cm="1">
        <f t="array" ref="B387">"頭部自由長"&amp;_xlfn.IFS(MID(D385,1,2)="なし","",MID(D385,1,3)="受圧体","(受圧体)",MID(D385,1,3)="のり面","(角度台座＋受圧体)",MID(D385,1,3)="構造物","(壁面台座)",MID(D385,1,3)="土留め","(台座+腹起し)",MID(D385,1,3)="個別台","(個別台座+腹起し)")&amp;"　Lfh"</f>
        <v>頭部自由長(角度台座＋受圧体)　Lfh</v>
      </c>
      <c r="C387" s="9" t="s">
        <v>10</v>
      </c>
      <c r="D387" s="75">
        <v>0.5</v>
      </c>
      <c r="F387" s="24">
        <v>9</v>
      </c>
      <c r="G387" s="17" t="str">
        <f>IF(OR(D379=0,D383="　",1*MID(D386,1,2)=1,1*MID(D386,1,2)&gt;=5),"","止水ゴム")</f>
        <v>止水ゴム</v>
      </c>
      <c r="H387" s="29" t="str">
        <f>IF(OR(D379=0,D383="　",1*MID(D386,1,2)=1,1*MID(D386,1,2)&gt;=5),"","G"&amp;MID(D383,4,4)&amp;"、NBR45相当")</f>
        <v>G5-3H、NBR45相当</v>
      </c>
      <c r="I387" s="52" t="str">
        <f>IF(OR(D379=0,D383="　",1*MID(D386,1,2)=1,1*MID(D386,1,2)&gt;=5),"","n=1")</f>
        <v>n=1</v>
      </c>
      <c r="J387" s="16" t="str">
        <f>IF(OR(D379=0,D383="　",1*MID(D386,1,2)=1,1*MID(D386,1,2)&gt;=5),"","個")</f>
        <v>個</v>
      </c>
      <c r="K387" s="32">
        <f>IF(OR(D379=0,D383="　",1*MID(D386,1,2)=1,1*MID(D386,1,2)&gt;=5),"",1)</f>
        <v>1</v>
      </c>
      <c r="L387" s="68">
        <f>IFERROR(D382*K387,"")</f>
        <v>10</v>
      </c>
    </row>
    <row r="388" spans="2:12" ht="11.1" customHeight="1">
      <c r="B388" s="31" t="s">
        <v>11</v>
      </c>
      <c r="C388" s="10" t="s">
        <v>10</v>
      </c>
      <c r="D388" s="75">
        <v>8.5</v>
      </c>
      <c r="F388" s="24">
        <v>10</v>
      </c>
      <c r="G388" s="17" t="str" cm="1">
        <f t="array" ref="G388">IF(OR(D379=0,D383="　",1*MID(D386,1,2)=1,1*MID(D386,1,2)&gt;=5),"",_xlfn.IFS(MID(D384,1,3)="ｱﾙﾐ","頭部防錆油",MID(D384,1,3)&lt;&gt;"ｱﾙﾐ","余長キャップ"))</f>
        <v>余長キャップ</v>
      </c>
      <c r="H388" s="29" t="str" cm="1">
        <f t="array" ref="H388">_xlfn.IFS(OR(D379=0,D383="　",1*MID(D386,1,2)=1,1*MID(D386,1,2)&gt;=5),"",MID(D384,1,3)="ｱﾙﾐ","PCコートC",MID(D384,1,3)&lt;&gt;"ｱﾙﾐ","TC"&amp;MID(D383,4,1)&amp;"、高密度ポリエチレン")</f>
        <v>TC5、高密度ポリエチレン</v>
      </c>
      <c r="I388" s="52" t="str" cm="1">
        <f t="array" ref="I388">_xlfn.IFS(OR(D379=0,D383="　",1*MID(D386,1,2)=1,1*MID(D386,1,2)&gt;=5),"",MID(D384,1,3)="ｱﾙﾐ","W="&amp;IF(MID(D383,4,1)="5",_xlfn.SWITCH(1*MID(LEFT(D383, LEN(D383)-1),6,2),1,1.9,2,1.3,3,1.3,4,1.3,5,1.6,6,1.6,7,1.6,8,3.1,9,3.1,10,3.1,11,3.1,12,3.1),"G6"&amp;_xlfn.SWITCH(1*MID(LEFT(D383, LEN(D383)-1),6,2),1,1.8,2,1.3,3,1.8,4,1.8,5,3.3,6,3.3,7,3.3,8,9.9,9,9.9,10,9.9,11,9.9,12,9.9,13,9.9,14,9.9)),MID(D384,1,3)&lt;&gt;"ｱﾙﾐ","n=1")</f>
        <v>n=1</v>
      </c>
      <c r="J388" s="16" t="str" cm="1">
        <f t="array" ref="J388">_xlfn.IFS(OR(D379=0,D383="　",1*MID(D386,1,2)=1,1*MID(D386,1,2)&gt;=5),"",MID(D384,1,3)="ｱﾙﾐ","kg",MID(D384,1,3)&lt;&gt;"ｱﾙﾐ","式")</f>
        <v>式</v>
      </c>
      <c r="K388" s="80" cm="1">
        <f t="array" ref="K388">_xlfn.IFS(OR(D379=0,D383="　",1*MID(D386,1,2)=1,1*MID(D386,1,2)&gt;=5),"",MID(D384,1,3)="ｱﾙﾐ",_xlfn.SWITCH(MID(D383,4,1),"5",_xlfn.SWITCH(1*MID(D383,6,FIND("H",D383,6)-6),1,1.9,2,1.3,3,1.3,4,1.3,5,1.6,6,1.6,7,1.6,8,3.1,9,3.1,10,3.1,11,3.1,12,3.1),"6",_xlfn.SWITCH(1*MID(D383,6,FIND("H",D383,6)-6),1,1.8,2,1.3,3,1.8,4,1.8,5,3.3,6,3.3,7,3.3,8,9.9,9,9.9,10,9.9,11,9.9,12,9.9,13,9.9,14,9.9)),MID(D384,1,3)&lt;&gt;"ｱﾙﾐ",1)</f>
        <v>1</v>
      </c>
      <c r="L388" s="68">
        <f>IFERROR(D382*K388,"")</f>
        <v>10</v>
      </c>
    </row>
    <row r="389" spans="2:12" ht="11.1" customHeight="1">
      <c r="B389" s="39" t="s">
        <v>18</v>
      </c>
      <c r="C389" s="40" t="s">
        <v>10</v>
      </c>
      <c r="D389" s="75">
        <v>7</v>
      </c>
      <c r="F389" s="24">
        <v>11</v>
      </c>
      <c r="G389" s="17" t="str">
        <f>IF(OR(D379=0,D383="　",1*MID(D386,1,2)=1,1*MID(D386,1,2)&gt;=5),"","配列スペーサ")</f>
        <v>配列スペーサ</v>
      </c>
      <c r="H389" s="29" t="str">
        <f>IF(OR(D379=0,D383="　",1*MID(D386,1,2)=1,1*MID(D386,1,2)&gt;=5),"",IF(MID(D383,4,1)="5","PS5-"&amp;_xlfn.SWITCH(1*MID(D383,6,FIND("H",D383,6)-6),1,"7",2,"2",3,"3",4,"4",5,"7",6,"7",7,"7",8,"12",9,"12",10,"12",11,"12",12,"12"),"PS6-"&amp;_xlfn.SWITCH(1*MID(D383,6,FIND("H",D383,6)-6),1,"7",2,"2",3,"3",4,"4",5,"7",6,"7",7,"7",8,"12",9,"12",10,"12",11,"12",12,"12",13,"14",14,"14",15,"19",16,"19",17,"19",18,"19",19,"19"))&amp;"、ポリエチレン")</f>
        <v>PS5-3、ポリエチレン</v>
      </c>
      <c r="I389" s="52" t="str">
        <f>IF(OR(D379=0,D383="　",1*MID(D386,1,2)=1,1*MID(D386,1,2)&gt;=5),"","n=2")</f>
        <v>n=2</v>
      </c>
      <c r="J389" s="16" t="str">
        <f>IF(OR(D379=0,D383="　",1*MID(D386,1,2)=1,1*MID(D386,1,2)&gt;=5),"","個")</f>
        <v>個</v>
      </c>
      <c r="K389" s="32">
        <f>IF(OR(D379=0,D383="　",1*MID(D386,1,2)=1,1*MID(D386,1,2)&gt;=5),"",2)</f>
        <v>2</v>
      </c>
      <c r="L389" s="68">
        <f>IFERROR(D382*K389,"")</f>
        <v>20</v>
      </c>
    </row>
    <row r="390" spans="2:12" ht="11.1" customHeight="1">
      <c r="B390" s="36" t="s">
        <v>17</v>
      </c>
      <c r="C390" s="11" t="s">
        <v>16</v>
      </c>
      <c r="D390" s="54">
        <v>90</v>
      </c>
      <c r="F390" s="24">
        <v>12</v>
      </c>
      <c r="G390" s="17" t="str">
        <f>IF(OR(D379=0,D383="　"),"","スペーサ")</f>
        <v>スペーサ</v>
      </c>
      <c r="H390" s="29" t="str" cm="1">
        <f t="array" ref="H390">IF(OR(D379=0,D383="　"),"",IF(MID(D383,4,1)="5","S5-"&amp;_xlfn.IFS(1*MID(D383,6,FIND("H",D383,6)-6)&lt;6,"5",1*MID(D383,6,FIND("H",D383,6)-6)&lt;9,"8",1*MID(D383,6,FIND("H",D383,6)-6)&gt;8,"12"),"S6-"&amp;_xlfn.IFS(1*MID(D383,6,FIND("H",D383,6)-6)&lt;4,"3",1*MID(D383,6,FIND("H",D383,6)-6)&lt;7,"6",1*MID(D383,6,FIND("H",D383,6)-6)&lt;10,"9",1*MID(D383,6,FIND("H",D383,6)-6)&lt;13,"12",1*MID(D383,6,FIND("H",D383,6)-6)&lt;15,"14",1*MID(D383,6,FIND("H",D383,6)-6)&lt;20,"19"))&amp;"、ポリプロピレン")</f>
        <v>S5-5、ポリプロピレン</v>
      </c>
      <c r="I390" s="58" t="str">
        <f>IF(OR(D379=0,D383="　"),"","n=mround(アンカー体長－0.4)÷@1.0m, 1.0)")</f>
        <v>n=mround(アンカー体長－0.4)÷@1.0m, 1.0)</v>
      </c>
      <c r="J390" s="16" t="str">
        <f>IF(OR(D379=0,D383="　"),"","個")</f>
        <v>個</v>
      </c>
      <c r="K390" s="38">
        <f>IF(OR(D379=0,D383="　"),"",MROUND((D389-0.4)/1,1))</f>
        <v>7</v>
      </c>
      <c r="L390" s="67">
        <f>IFERROR(D382*K390,"")</f>
        <v>70</v>
      </c>
    </row>
    <row r="391" spans="2:12" ht="11.1" customHeight="1">
      <c r="B391" s="41" t="s">
        <v>37</v>
      </c>
      <c r="C391" s="5" t="s">
        <v>16</v>
      </c>
      <c r="D391" s="66" cm="1">
        <f t="array" ref="D391">IF(OR(D379=0,D383="　"),"",_xlfn.SWITCH(1*MID(D386,1,2),0,_xlfn.SWITCH(1*MID(D383,4,1),5,_xlfn.SWITCH(1*MID(LEFT(D383, LEN(D383)-1),6,2),1,90,2,90,3,90,4,90,5,90,6,115,7,115,8,115,9,135,10,135,11,135,12,135),6,_xlfn.SWITCH(1*MID(LEFT(D383, LEN(D383)-1),6,2),1,90,2,90,3,90,4,115,5,115,6,115,7,135,8,135,9,135,10,146,11,146,12,146,13,165,14,165)),1,_xlfn.SWITCH(1*MID(D383,4,1),5,_xlfn.SWITCH(1*MID(LEFT(D383, LEN(D383)-1),6,2),1,90,2,90,3,90,4,90,5,115,6,115,7,135,8,135,9,135,10,135,11,165,12,165),6,_xlfn.SWITCH(1*MID(LEFT(D383, LEN(D383)-1),6,2),1,90,2,90,3,115,4,115,5,135,6,135,7,135,8,135,9,135,10,165,11,165,12,165,13,165,14,165)),2,_xlfn.SWITCH(1*MID(D383,4,1),5,_xlfn.SWITCH(1*MID(LEFT(D383, LEN(D383)-1),6,2),1,90,2,90,3,115,4,115,5,115,6,115,7,135,8,135,9,146,10,146,11,146,12,146),6,_xlfn.SWITCH(1*MID(LEFT(D383, LEN(D383)-1),6,2),1,90,2,90,3,115,4,115,5,135,6,135,7,146,8,146,9,146,10,165,11,165,12,165,13,216,14,216)),3,_xlfn.SWITCH(1*MID(D383,4,1),5,_xlfn.SWITCH(1*MID(LEFT(D383, LEN(D383)-1),6,2),1,115,2,115,3,115,4,115,5,115,6,135,7,135,8,135,9,146,10,146,11,146,12,146),6,_xlfn.SWITCH(1*MID(LEFT(D383, LEN(D383)-1),6,2),1,115,2,115,3,115,4,135,5,135,6,135,7,146,8,146,9,146,10,165,11,165,12,165,13,216,14,216)),4,_xlfn.SWITCH(1*MID(D383,4,1),5,_xlfn.SWITCH(1*MID(LEFT(D383, LEN(D383)-1),6,2),1,115,2,115,3,115,4,115,5,115,6,135,7,135,8,135,9,146,10,146,11,146,12,146),6,_xlfn.SWITCH(1*MID(LEFT(D383, LEN(D383)-1),6,2),1,115,2,115,3,115,4,135,5,135,6,135,7,146,8,146,9,146,10,165,11,165,12,165,13,216,14,216)),5,_xlfn.SWITCH(1*MID(D383,4,1),5,_xlfn.SWITCH(1*MID(LEFT(D383, LEN(D383)-1),6,2),1,90,2,90,3,115,4,115,5,115,6,115,7,135,8,135,9,165,10,165,11,165,12,165),6,_xlfn.SWITCH(1*MID(LEFT(D383, LEN(D383)-1),6,2),1,90,2,90,3,115,4,115,5,135,6,135,7,165,8,165,9,165,10,165,11,165,12,165,13,216,14,216)),6,_xlfn.SWITCH(1*MID(D383,4,1),5,_xlfn.SWITCH(1*MID(LEFT(D383, LEN(D383)-1),6,2),1,115,2,115,3,115,4,115,5,115,6,135,7,135,8,135,9,165,10,165,11,165,12,165),6,_xlfn.SWITCH(1*MID(LEFT(D383, LEN(D383)-1),6,2),1,115,2,115,3,115,4,135,5,135,6,135,7,165,8,165,9,165,10,165,11,165,12,165,13,216,14,216)),7,_xlfn.SWITCH(1*MID(D383,4,1),5,_xlfn.SWITCH(1*MID(LEFT(D383, LEN(D383)-1),6,2),1,115,2,115,3,115,4,115,5,115,6,135,7,135,8,135,9,165,10,165,11,165,12,165),6,_xlfn.SWITCH(1*MID(LEFT(D383, LEN(D383)-1),6,2),1,115,2,115,3,115,4,135,5,135,6,135,7,165,8,165,9,165,10,165,11,165,12,165,13,216,14,216))))</f>
        <v>90</v>
      </c>
      <c r="F391" s="24">
        <v>13</v>
      </c>
      <c r="G391" s="17" t="str">
        <f>IF(OR(D379=0,D383="　"),"","ﾊﾟｲﾛｯﾄｷｬｯﾌﾟ")</f>
        <v>ﾊﾟｲﾛｯﾄｷｬｯﾌﾟ</v>
      </c>
      <c r="H391" s="29" t="str" cm="1">
        <f t="array" ref="H391">IF(OR(D379=0,D383="　"),"",IF(MID(D383,4,1)="5","PC5-"&amp;_xlfn.IFS(1*MID(D383,6,FIND("H",D383,6)-6)&lt;5,"4",1*MID(D383,6,FIND("H",D383,6)-6)&lt;8,"7",1*MID(D383,6,FIND("H",D383,6)-6)&lt;10,"9",1*MID(D383,6,FIND("H",D383,6)-6)&gt;9,"12"),"PC6-"&amp;_xlfn.IFS(1*MID(D383,6,FIND("H",D383,6)-6)&lt;4,"3",1*MID(D383,6,FIND("H",D383,6)-6)&lt;8,"7",1*MID(D383,6,FIND("H",D383,6)-6)&lt;13,"12",1*MID(D383,6,FIND("H",D383,6)-6)&lt;15,"14",1*MID(D383,6,FIND("H",D383,6)-6)&lt;20,"19"))&amp;"、ポリプロピレン")</f>
        <v>PC5-4、ポリプロピレン</v>
      </c>
      <c r="I391" s="52" t="str">
        <f>IF(OR(D379=0,D383="　"),"","n=1")</f>
        <v>n=1</v>
      </c>
      <c r="J391" s="16" t="str">
        <f>IF(OR(D379=0,D383="　"),"","個")</f>
        <v>個</v>
      </c>
      <c r="K391" s="32">
        <f>IF(OR(D379=0,D383="　"),"",1)</f>
        <v>1</v>
      </c>
      <c r="L391" s="68">
        <f>IFERROR(D382*K391,"")</f>
        <v>10</v>
      </c>
    </row>
    <row r="392" spans="2:12" ht="11.1" customHeight="1">
      <c r="B392" s="43" t="s">
        <v>30</v>
      </c>
      <c r="C392" s="44" t="s">
        <v>31</v>
      </c>
      <c r="D392" s="59" t="str">
        <f>IF(OR(D379=0,D383="　"),"",IF(D390=D391,"OK","CHECK"))</f>
        <v>OK</v>
      </c>
      <c r="F392" s="24">
        <v>14</v>
      </c>
      <c r="G392" s="17" t="str">
        <f>IF(OR(D379=0,D383="　"),"","結束バンド")</f>
        <v>結束バンド</v>
      </c>
      <c r="H392" s="29" t="str">
        <f>IF(OR(D379=0,D383="　"),"","66ナイロン")</f>
        <v>66ナイロン</v>
      </c>
      <c r="I392" s="58" t="str">
        <f>IF(OR(D379=0,D383="　"),"","n=スペーサ数×2")</f>
        <v>n=スペーサ数×2</v>
      </c>
      <c r="J392" s="16" t="str">
        <f>IF(OR(D379=0,D383="　"),"","本")</f>
        <v>本</v>
      </c>
      <c r="K392" s="38">
        <f>IF(OR(D379=0,D383="　"),"",2*K390)</f>
        <v>14</v>
      </c>
      <c r="L392" s="67">
        <f>IFERROR(D382*K392,"")</f>
        <v>140</v>
      </c>
    </row>
    <row r="393" spans="2:12" ht="11.1" customHeight="1">
      <c r="B393" s="45" t="s">
        <v>12</v>
      </c>
      <c r="C393" s="9" t="s">
        <v>10</v>
      </c>
      <c r="D393" s="60">
        <f>IF(OR(D379=0,D383="　"),"──",SUM(D387:D388))</f>
        <v>9</v>
      </c>
      <c r="F393" s="24">
        <v>15</v>
      </c>
      <c r="G393" s="17" t="str">
        <f>IF(OR(D379=0,D383="　"),"","結束テープ")</f>
        <v>結束テープ</v>
      </c>
      <c r="H393" s="29" t="str">
        <f>IF(OR(D379=0,D383="　"),"","フィラメントテープ")</f>
        <v>フィラメントテープ</v>
      </c>
      <c r="I393" s="58" t="str">
        <f>IF(OR(D379=0,D383="　"),"","L=(自由長+緊張部長)÷@1.0m×テープ係数"&amp;IF(MID(D383,4,1)="5",_xlfn.IFS(1*MID(LEFT(D383, LEN(D383)-1),6,2)&lt;4,"0.8",1*MID(LEFT(D383, LEN(D383)-1),6,2)&lt;7,"1.0",1*MID(LEFT(D383, LEN(D383)-1),6,2)&lt;10,"1.2",1*MID(LEFT(D383, LEN(D383)-1),6,2)&lt;13,"1.4"),_xlfn.IFS(1*MID(LEFT(D383, LEN(D383)-1),6,2)&lt;4,"1.0",1*MID(LEFT(D383, LEN(D383)-1),6,2)&lt;7,"1.2",1*MID(LEFT(D383, LEN(D383)-1),6,2)&lt;10,"1.4",1*MID(LEFT(D383, LEN(D383)-1),6,2)&lt;15,"1.8")))</f>
        <v>L=(自由長+緊張部長)÷@1.0m×テープ係数0.8</v>
      </c>
      <c r="J393" s="16" t="str">
        <f>IF(OR(D379=0,D383="　"),"","m")</f>
        <v>m</v>
      </c>
      <c r="K393" s="42" cm="1">
        <f t="array" ref="K393">IF(OR(D379=0,D383="　"),"",MROUND((SUM(D393,D394))/1*IF(MID(D383,4,1)="5",_xlfn.SWITCH(1*MID(D383,6,FIND("H",D383,6)-6),1,0.8,2,0.8,3,0.8,4,1,5,1,6,1,7,1.2,8,1.2,9,1.2,10,1.4,11,1.4,12,1.4),_xlfn.SWITCH(1*MID(D383,6,FIND("H",D383,6)-6),1,1,2,1,3,1,4,1.2,5,1.2,6,1.2,7,1.4,8,1.4,9,1.4,10,1.8,11,1.8,12,1.8,13,1.8,14,1.8,15,2.5,16,2.5,17,2.5,18,2.5,19,2.5)),0.1))</f>
        <v>8</v>
      </c>
      <c r="L393" s="69">
        <f>IFERROR(D382*K393,"")</f>
        <v>80</v>
      </c>
    </row>
    <row r="394" spans="2:12" ht="11.1" customHeight="1">
      <c r="B394" s="47" t="s">
        <v>13</v>
      </c>
      <c r="C394" s="10" t="s">
        <v>10</v>
      </c>
      <c r="D394" s="61" cm="1">
        <f t="array" ref="D394">IF(OR(D379=0,D383="　"),"──",IF(MID(D383,4,1)="5",_xlfn.IFS(1*MID(LEFT(D383,LEN(D383)-1),6,2)&lt;8,1,1*MID(LEFT(D383,LEN(D383)-1),6,2)&lt;13,1.2),_xlfn.IFS(1*MID(LEFT(D383,LEN(D383)-1),6,2)&lt;6,1,1*MID(LEFT(D383,LEN(D383)-1),6,2)&lt;15,1.2)))</f>
        <v>1</v>
      </c>
      <c r="F394" s="24">
        <v>16</v>
      </c>
      <c r="G394" s="17" t="str">
        <f>IF(OR(D379=0,D383="　",1*MID(D386,1,2)=1,1*MID(D386,1,2)=5),"","注入ホース")</f>
        <v>注入ホース</v>
      </c>
      <c r="H394" s="29" t="str">
        <f>IF(OR(D379=0,D383="　",1*MID(D386,1,2)=1,1*MID(D386,1,2)=5),"","φ16/20、高密度ポリエチレン")</f>
        <v>φ16/20、高密度ポリエチレン</v>
      </c>
      <c r="I394" s="46" t="str">
        <f>IF(OR(D379=0,D383="　",1*MID(D386,1,2)=1,1*MID(D386,1,2)=5),"","L=テンドン長")</f>
        <v>L=テンドン長</v>
      </c>
      <c r="J394" s="16" t="str">
        <f>IF(OR(D379=0,D383="　",1*MID(D386,1,2)=1,1*MID(D386,1,2)=5),"","m")</f>
        <v>m</v>
      </c>
      <c r="K394" s="30">
        <f>IF(OR(D379=0,D383="　",1*MID(D386,1,2)=1,1*MID(D386,1,2)=5),"",MROUND(D396,0.1))</f>
        <v>17.2</v>
      </c>
      <c r="L394" s="67">
        <f>IFERROR(D382*K394,"")</f>
        <v>172</v>
      </c>
    </row>
    <row r="395" spans="2:12" ht="11.1" customHeight="1">
      <c r="B395" s="48" t="s">
        <v>19</v>
      </c>
      <c r="C395" s="10" t="s">
        <v>14</v>
      </c>
      <c r="D395" s="62">
        <f>IF(OR(D379=0,D383="　"),"──",0.2)</f>
        <v>0.2</v>
      </c>
      <c r="F395" s="24">
        <v>17</v>
      </c>
      <c r="G395" s="17" t="str" cm="1">
        <f t="array" ref="G395">_xlfn.IFS(OR(D379=0,D383="　",MID(D385,1,2)="なし",MID(D385,1,3)="受圧体",1*MID(D386,1,2)=1,1*MID(D386,1,2)&gt;=5),"",MID(D385,1,3)="のり面","のり面角度台座",MID(D385,1,3)="構造物","構造物壁面台座",MID(D385,1,3)="土留め","土留め台座",MID(D385,1,3)="個別台","個別台座")</f>
        <v>のり面角度台座</v>
      </c>
      <c r="H395" s="46" t="str" cm="1">
        <f t="array" ref="H395">IF(OR(D379=0,D383="　",G395=""),"",_xlfn.IFS(MID(D385,1,3)="のり面",IF(1*MID(D383,4,1)=5,_xlfn.IFS(1*MID(D383,6,FIND("H",D383,6)-6)&lt;5,"ST140",1*MID(D383,6,FIND("H",D383,6)-6)&lt;8,"ST170",1*MID(D383,6,FIND("H",D383,6)-6)&lt;13,"ST220"),_xlfn.IFS(1*MID(D383,6,FIND("H",D383,6)-6)&lt;4,"ST140",1*MID(D383,6,FIND("H",D383,6)-6)&lt;5,"ST170",1*MID(D383,6,FIND("H",D383,6)-6)&lt;8,"ST220",1*MID(D383,6,FIND("H",D383,6)-6)&lt;20,"非該当"))&amp;"、FCD450相当",OR(MID(D385,1,3)="構造物",MID(D385,1,3)="土留め",MID(D385,1,3)="個別台"),D383&amp;"用"&amp;_xlfn.IFS(MID(D385,1,3)="構造物","",MID(D385,1,3)="土留め",IF(1*MID(D383,4,1)=5,_xlfn.SWITCH(1*MID(D383,6,FIND("H",D383,6)-6),1,"DA110",2,"DA220",3,"DA330",4,"DA440",5,"DA550",6,"DA660",7,"DA770",8,"DA880",9,"DA990",10,"DA1100",11,"DA1210",12,"DA1320"),_xlfn.SWITCH(1*MID(D383,6,FIND("H",D383,6)-6),1,"DA220",2,"DA330",3,"DA550",4,"DA660",5,"DA880",6,"DA990",7,"DA1100",8,"DA1320",9,"DA1410",10,"DA1570",11,"DA1730",12,"DA1880",13,"DA2040",14,"DA2200")),MID(D385,1,3)="個別台",D398)))&amp;IF(OR(D379=0,D383="　",G395=""),"","、"&amp;_xlfn.IFS(MID(D381,1,3)="防食Ⅱ","HDZT77めっき",MID(D381,5,2)="塩害","ｱﾙﾐﾅｲｽﾞ処理",MID(D381,5,2)="酸性","重防食処理"))</f>
        <v>ST140、FCD450相当、HDZT77めっき</v>
      </c>
      <c r="I395" s="52" t="str">
        <f>IF(OR(D379=0,D383="　",G395=""),"","n=1")</f>
        <v>n=1</v>
      </c>
      <c r="J395" s="16" t="str">
        <f>IF(OR(D379=0,D383="　",G395=""),"","台")</f>
        <v>台</v>
      </c>
      <c r="K395" s="32">
        <f>IF(OR(D379=0,D383="　",G395=""),"",1)</f>
        <v>1</v>
      </c>
      <c r="L395" s="68">
        <f>IFERROR(D382*K395,"")</f>
        <v>10</v>
      </c>
    </row>
    <row r="396" spans="2:12" ht="11.1" customHeight="1">
      <c r="B396" s="50" t="s">
        <v>20</v>
      </c>
      <c r="C396" s="10" t="s">
        <v>10</v>
      </c>
      <c r="D396" s="63">
        <f>IF(OR(D379=0,D383="　"),"──",SUM(D389,D393:D395))</f>
        <v>17.2</v>
      </c>
      <c r="F396" s="24">
        <v>18</v>
      </c>
      <c r="G396" s="17" t="str">
        <f>IF(OR(D379=0,D383="　",MID(D385,1,3)&lt;&gt;"のり面",1*MID(D386,1,2)=1,1*MID(D386,1,2)&gt;=5),"","補剛板")</f>
        <v>補剛板</v>
      </c>
      <c r="H396" s="46" t="str" cm="1">
        <f t="array" ref="H396">IF(OR(D379=0,D383="　",G396=""),"",IF(MID(D383,4,1)="5","□"&amp;_xlfn.SWITCH(1*MID(D383,6,FIND("H",D383,6)-6),1,"210φ131t12",2,"210φ131t12",3,"240φ131t12",4,"270φ131t12",5,"280φ143t12",6,"310φ143t16",7,"350φ143t19",8,"350φ180t19",9,"350φ180t19",10,"350φ180t19",11,"350φ180t22",12,"350φ180t22"),"□"&amp;_xlfn.SWITCH(1*MID(D383,6,FIND("H",D383,6)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379=0,D383="　",G396=""),"","、"&amp;_xlfn.IFS(MID(D381,1,3)="防食Ⅱ","HDZT77めっき",MID(D381,5,2)="塩害","ｱﾙﾐﾅｲｽﾞ処理",MID(D381,5,2)="酸性","重防食処理"))</f>
        <v>□240φ131t12、SS400相当、HDZT77めっき</v>
      </c>
      <c r="I396" s="52" t="str">
        <f>IF(OR(D379=0,D383="　",G396=""),"","n=1")</f>
        <v>n=1</v>
      </c>
      <c r="J396" s="16" t="str">
        <f>IF(OR(D379=0,D383="　",G396=""),"","枚")</f>
        <v>枚</v>
      </c>
      <c r="K396" s="32">
        <f>IF(OR(D379=0,D383="　",G396=""),"",1)</f>
        <v>1</v>
      </c>
      <c r="L396" s="68">
        <f>IFERROR(D382*K396,"")</f>
        <v>10</v>
      </c>
    </row>
    <row r="397" spans="2:12" ht="11.1" customHeight="1">
      <c r="B397" s="51" t="s">
        <v>15</v>
      </c>
      <c r="C397" s="12" t="s">
        <v>10</v>
      </c>
      <c r="D397" s="64">
        <f>IF(OR(D379=0,D383="　"),"──",0.25)</f>
        <v>0.25</v>
      </c>
      <c r="F397" s="24">
        <v>19</v>
      </c>
      <c r="G397" s="17" t="str" cm="1">
        <f t="array" ref="G397">_xlfn.IFS(OR(D379=0,D383="　",MID(D384,1,3)="ｱﾙﾐ",1*MID(D386,1,2)=1,1*MID(D386,1,2)&gt;=5),"",MID(D384,1,3)&lt;&gt;"ｱﾙﾐ","テンドン補修用塗料")</f>
        <v>テンドン補修用塗料</v>
      </c>
      <c r="H397" s="38" t="str" cm="1">
        <f t="array" ref="H397">_xlfn.IFS(OR(D379=0,D383="　",MID(D384,1,3)="ｱﾙﾐ",1*MID(D386,1,2)=1,1*MID(D386,1,2)&gt;=5),"",MID(D384,1,3)&lt;&gt;"ｱﾙﾐ","エポキシ樹脂")</f>
        <v>エポキシ樹脂</v>
      </c>
      <c r="I397" s="52" t="str" cm="1">
        <f t="array" ref="I397">_xlfn.IFS(OR(D379=0,D383="　",MID(D384,1,3)="ｱﾙﾐ",1*MID(D386,1,2)=1,1*MID(D386,1,2)&gt;=5),"",MID(D384,1,3)&lt;&gt;"ｱﾙﾐ","W=PC鋼より線本数×"&amp;IF(MID(D383,4,1)="5","0.28","0.4"))</f>
        <v>W=PC鋼より線本数×0.28</v>
      </c>
      <c r="J397" s="16" t="str" cm="1">
        <f t="array" ref="J397">_xlfn.IFS(OR(D379=0,D383="　",MID(D384,1,3)="ｱﾙﾐ",1*MID(D386,1,2)=1,1*MID(D386,1,2)&gt;=5),"",MID(D384,1,3)&lt;&gt;"ｱﾙﾐ","g")</f>
        <v>g</v>
      </c>
      <c r="K397" s="77" cm="1">
        <f t="array" ref="K397">_xlfn.IFS(OR(D379=0,D383="　",MID(D384,1,3)="ｱﾙﾐ",1*MID(D386,1,2)=1,1*MID(D386,1,2)&gt;=5),"",MID(D384,1,3)&lt;&gt;"ｱﾙﾐ",MID(D383,6,FIND("H",D383,6)-6)*IF(MID(D383,4,1)="5",0.28,0.4))</f>
        <v>0.84000000000000008</v>
      </c>
      <c r="L397" s="78">
        <f>IFERROR(D382*K397,"")</f>
        <v>8.4</v>
      </c>
    </row>
    <row r="398" spans="2:12" ht="11.1" customHeight="1">
      <c r="B398" s="65" t="s">
        <v>32</v>
      </c>
      <c r="C398" s="3" t="s">
        <v>33</v>
      </c>
      <c r="D398" s="76"/>
      <c r="F398" s="24">
        <v>20</v>
      </c>
      <c r="G398" s="17" t="str" cm="1">
        <f t="array" ref="G398">_xlfn.IFS(OR(D379=0,D383="　",MID(D384,1,3)="ｱﾙﾐ",1*MID(D386,1,2)=1,1*MID(D386,1,2)&gt;=5),"",MID(D384,1,3)&lt;&gt;"ｱﾙﾐ","長期防錆スプレー")</f>
        <v>長期防錆スプレー</v>
      </c>
      <c r="H398" s="38" t="str" cm="1">
        <f t="array" ref="H398">_xlfn.IFS(OR(D379=0,D383="　",MID(D384,1,3)="ｱﾙﾐ",1*MID(D386,1,2)=1,1*MID(D386,1,2)&gt;=5),"",MID(D384,1,3)&lt;&gt;"ｱﾙﾐ","防錆オイル")</f>
        <v>防錆オイル</v>
      </c>
      <c r="I398" s="52" t="str" cm="1">
        <f t="array" ref="I398">_xlfn.IFS(OR(D379=0,D383="　",MID(D384,1,3)="ｱﾙﾐ",1*MID(D386,1,2)=1,1*MID(D386,1,2)&gt;=5),"",MID(D384,1,3)&lt;&gt;"ｱﾙﾐ","n=0.01×(PC鋼より線本数+"&amp;IF(MID(D383,4,1)="5","6","12")&amp;")")</f>
        <v>n=0.01×(PC鋼より線本数+6)</v>
      </c>
      <c r="J398" s="16" t="str" cm="1">
        <f t="array" ref="J398">_xlfn.IFS(OR(D379=0,D383="　",MID(D384,1,3)="ｱﾙﾐ",1*MID(D386,1,2)=1,1*MID(D386,1,2)&gt;=5),"",MID(D384,1,3)&lt;&gt;"ｱﾙﾐ","缶")</f>
        <v>缶</v>
      </c>
      <c r="K398" s="77" cm="1">
        <f t="array" ref="K398">_xlfn.IFS(OR(D379=0,D383="　",MID(D384,1,3)="ｱﾙﾐ",1*MID(D386,1,2)=1,1*MID(D386,1,2)&gt;=5),"",MID(D384,1,3)&lt;&gt;"ｱﾙﾐ",0.01*(IF(MID(D383,4,1)="5",6,12)+MID(LEFT(D383,LEN(D383)-1),6,2)))</f>
        <v>0.09</v>
      </c>
      <c r="L398" s="78">
        <f>IFERROR(D382*K398,"")</f>
        <v>0.89999999999999991</v>
      </c>
    </row>
    <row r="399" spans="2:12" ht="11.1" customHeight="1">
      <c r="F399" s="24">
        <v>21</v>
      </c>
      <c r="G399" s="17" t="str">
        <f>IF(OR(D379=0,D383="　",1*MID(D386,1,2)&lt;=1,1*MID(D386,1,2)=3,,1*MID(D386,1,2)=6),"","ﾌﾘｰﾊﾟｯｶｰ注入ﾎｰｽ")</f>
        <v/>
      </c>
      <c r="H399" s="29" t="str">
        <f>IF(OR(D379=0,D383="　",1*MID(D386,1,2)&lt;=1,1*MID(D386,1,2)=3,,1*MID(D386,1,2)=6),"","φ16/20、ポリエチレン")</f>
        <v/>
      </c>
      <c r="I399" s="29" t="str">
        <f>IF(OR(D379=0,D383="　",1*MID(D386,1,2)&lt;=1,1*MID(D386,1,2)=3,,1*MID(D386,1,2)=6),"","L=自由長+緊張部長")</f>
        <v/>
      </c>
      <c r="J399" s="16" t="str">
        <f>IF(OR(D379=0,D383="　",1*MID(D386,1,2)&lt;=1,1*MID(D386,1,2)=3,,1*MID(D386,1,2)=6),"","m")</f>
        <v/>
      </c>
      <c r="K399" s="30" t="str">
        <f>IF(OR(D379=0,D383="　",1*MID(D386,1,2)&lt;=1,1*MID(D386,1,2)=3,,1*MID(D386,1,2)=6),"",D393+D394)</f>
        <v/>
      </c>
      <c r="L399" s="67" t="str">
        <f>IFERROR(D382*K399,"")</f>
        <v/>
      </c>
    </row>
    <row r="400" spans="2:12" ht="11.1" customHeight="1">
      <c r="F400" s="24">
        <v>22</v>
      </c>
      <c r="G400" s="17" t="str">
        <f>IF(OR(D379=0,D383="　",1*MID(D386,1,2)&lt;=1,1*MID(D386,1,2)=3,,1*MID(D386,1,2)=6),"","フリーパッカー")</f>
        <v/>
      </c>
      <c r="H400" s="52" t="str" cm="1">
        <f t="array" ref="H400">IF(OR(D379=0,D383="　",1*MID(D386,1,2)&lt;=1,1*MID(D386,1,2)=3,1*MID(D386,1,2)=6),"",_xlfn.SWITCH(D390,90,"PA-170",115,"PA-200",135,"PA-240",146,"PA-290",165,"PA-350",216,"PA-420")&amp;"、織布")</f>
        <v/>
      </c>
      <c r="I400" s="52" t="str">
        <f>IF(OR(D379=0,D383="　",1*MID(D386,1,2)&lt;=1,1*MID(D386,1,2)=3,1*MID(D386,1,2)=6),"","L=自由長+0.5")</f>
        <v/>
      </c>
      <c r="J400" s="16" t="str">
        <f>IF(OR(D379=0,D383="　",1*MID(D386,1,2)&lt;=1,1*MID(D386,1,2)=3,,1*MID(D386,1,2)=6),"","m")</f>
        <v/>
      </c>
      <c r="K400" s="30" t="str">
        <f>IF(OR(D379=0,D383="　",1*MID(D386,1,2)&lt;=1,1*MID(D386,1,2)=3,,1*MID(D386,1,2)=6),"",D393+0.5)</f>
        <v/>
      </c>
      <c r="L400" s="69" t="str">
        <f>IFERROR(D382*K400,"")</f>
        <v/>
      </c>
    </row>
    <row r="401" spans="2:12" ht="11.1" customHeight="1">
      <c r="F401" s="24">
        <v>23</v>
      </c>
      <c r="G401" s="17" t="str">
        <f>IF(OR(D379=0,D383="　",1*MID(D386,1,2)&lt;=1,1*MID(D386,1,2)=3,,1*MID(D386,1,2)=6),"","ﾌﾘｰﾊﾟｯｶｰ取付加工")</f>
        <v/>
      </c>
      <c r="H401" s="29" t="str">
        <f>IF(OR(D379=0,D383="　",1*MID(D386,1,2)&lt;=1,1*MID(D386,1,2)=3,,1*MID(D386,1,2)=6),"","材工")</f>
        <v/>
      </c>
      <c r="I401" s="29" t="str">
        <f>IF(OR(D379=0,D383="　",1*MID(D386,1,2)&lt;=1,1*MID(D386,1,2)=3,,1*MID(D386,1,2)=6),"","n=1")</f>
        <v/>
      </c>
      <c r="J401" s="16" t="str">
        <f>IF(OR(D379=0,D383="　",1*MID(D386,1,2)&lt;=1,1*MID(D386,1,2)=3,,1*MID(D386,1,2)=6),"","式")</f>
        <v/>
      </c>
      <c r="K401" s="32" t="str">
        <f>IF(OR(D379=0,D383="　",1*MID(D386,1,2)&lt;=1,1*MID(D386,1,2)=3,,1*MID(D386,1,2)=6),"",1)</f>
        <v/>
      </c>
      <c r="L401" s="70" t="str">
        <f>IFERROR(D382*K401,"")</f>
        <v/>
      </c>
    </row>
    <row r="402" spans="2:12" ht="11.1" customHeight="1">
      <c r="F402" s="24">
        <v>24</v>
      </c>
      <c r="G402" s="17" t="str">
        <f>IF(OR(D379=0,D383="　",1*MID(D386,1,2)&lt;=2,1*MID(D386,1,2)=5),"","フリクションパッカー")</f>
        <v/>
      </c>
      <c r="H402" s="38" t="str" cm="1">
        <f t="array" ref="H402">IF(OR(D379=0,D383="　",1*MID(D386,1,2)&lt;=2,1*MID(D386,1,2)=5),"",_xlfn.SWITCH(D390,90,"FP125",115,"FP125",135,"FP150",146,"FP175",165,"FP200",216,"FP235")&amp;"、パイレン布")</f>
        <v/>
      </c>
      <c r="I402" s="38" t="str">
        <f>IF(OR(D379=0,D383="　",1*MID(D386,1,2)&lt;=2,1*MID(D386,1,2)=5),"","L=アンカー体長+0.5")</f>
        <v/>
      </c>
      <c r="J402" s="16" t="str">
        <f>IF(OR(D379=0,D383="　",1*MID(D386,1,2)&lt;=2,1*MID(D386,1,2)=5),"","m")</f>
        <v/>
      </c>
      <c r="K402" s="30" t="str">
        <f>IF(OR(D379=0,D383="　",1*MID(D386,1,2)&lt;=2,1*MID(D386,1,2)=5),"",D389+0.5)</f>
        <v/>
      </c>
      <c r="L402" s="68" t="str">
        <f>IFERROR(D382*K402,"")</f>
        <v/>
      </c>
    </row>
    <row r="403" spans="2:12" ht="11.1" customHeight="1">
      <c r="F403" s="24">
        <v>25</v>
      </c>
      <c r="G403" s="17" t="str">
        <f>IF(OR(D379=0,D383="　",1*MID(D386,1,2)&lt;=2,1*MID(D386,1,2)=5),"","ﾌﾘｸｼｮﾝﾊﾟｯｶｰ取付加工")</f>
        <v/>
      </c>
      <c r="H403" s="29" t="str">
        <f>IF(OR(D379=0,D383="　",1*MID(D386,1,2)&lt;=2,1*MID(D386,1,2)=5),"","材工")</f>
        <v/>
      </c>
      <c r="I403" s="29" t="str">
        <f>IF(OR(D379=0,D383="　",1*MID(D386,1,2)&lt;=2,1*MID(D386,1,2)=5),"","n=1")</f>
        <v/>
      </c>
      <c r="J403" s="16" t="str">
        <f>IF(OR(D379=0,D383="　",1*MID(D386,1,2)&lt;=2,1*MID(D386,1,2)=5),"","式")</f>
        <v/>
      </c>
      <c r="K403" s="32" t="str">
        <f>IF(OR(D379=0,D383="　",1*MID(D386,1,2)&lt;=2,1*MID(D386,1,2)=5),"",1)</f>
        <v/>
      </c>
      <c r="L403" s="70" t="str">
        <f>IFERROR(D382*K403,"")</f>
        <v/>
      </c>
    </row>
    <row r="404" spans="2:12" ht="11.1" customHeight="1">
      <c r="F404" s="24">
        <v>26</v>
      </c>
      <c r="G404" s="17" t="str">
        <f>IF(OR(D379=0,D383="　",1*MID(D386,1,2)=0,1*MID(D386,1,2)=2,1*MID(D386,1,2)=3,1*MID(D386,1,2)=4),"","試験ﾊﾟｯｶｰ水注入ﾎｰｽ")</f>
        <v/>
      </c>
      <c r="H404" s="38" t="str">
        <f>IF(OR(D379=0,D383="　",1*MID(D386,1,2)=0,1*MID(D386,1,2)=2,1*MID(D386,1,2)=3,1*MID(D386,1,2)=4),"","φ4/6、ナイロン")</f>
        <v/>
      </c>
      <c r="I404" s="38" t="str">
        <f>IF(OR(D379=0,D383="　",1*MID(D386,1,2)=0,1*MID(D386,1,2)=2,1*MID(D386,1,2)=3,1*MID(D386,1,2)=4),"","L=自由長+緊張部長")</f>
        <v/>
      </c>
      <c r="J404" s="79" t="str">
        <f>IF(OR(D379=0,D383="　",1*MID(D386,1,2)=0,1*MID(D386,1,2)=2,1*MID(D386,1,2)=3,1*MID(D386,1,2)=4),"","m")</f>
        <v/>
      </c>
      <c r="K404" s="80" t="str">
        <f>IF(OR(D379=0,D383="　",1*MID(D386,1,2)=0,1*MID(D386,1,2)=2,1*MID(D386,1,2)=3,1*MID(D386,1,2)=4),"",D393+D394)</f>
        <v/>
      </c>
      <c r="L404" s="81" t="str">
        <f>IFERROR(D382*K404,"")</f>
        <v/>
      </c>
    </row>
    <row r="405" spans="2:12" ht="11.1" customHeight="1">
      <c r="F405" s="24">
        <v>27</v>
      </c>
      <c r="G405" s="17" t="str">
        <f>IF(OR(D379=0,D383="　",1*MID(D386,1,2)=0,1*MID(D386,1,2)=2,1*MID(D386,1,2)=3,1*MID(D386,1,2)=4),"","引抜試験パッカー")</f>
        <v/>
      </c>
      <c r="H405" s="38" t="str" cm="1">
        <f t="array" ref="H405">IF(OR(D379=0,D383="　",1*MID(D386,1,2)=0,1*MID(D386,1,2)=2,1*MID(D386,1,2)=3,1*MID(D386,1,2)=4),"",_xlfn.SWITCH(D390,90,"PU90",115,"PU115",135,"PU135",146,"PU146",165,"PU165")&amp;"、3層構造(鋼管･ゴム･布)")</f>
        <v/>
      </c>
      <c r="I405" s="38" t="str">
        <f>IF(OR(D379=0,D383="　",1*MID(D386,1,2)=0,1*MID(D386,1,2)=2,1*MID(D386,1,2)=3,1*MID(D386,1,2)=4),"","n=1")</f>
        <v/>
      </c>
      <c r="J405" s="79" t="str">
        <f>IF(OR(D379=0,D383="　",1*MID(D386,1,2)=0,1*MID(D386,1,2)=2,1*MID(D386,1,2)=3,1*MID(D386,1,2)=4),"","式")</f>
        <v/>
      </c>
      <c r="K405" s="32" t="str" cm="1">
        <f t="array" ref="K405">IF(OR(D379=0,D383="　",1*MID(D386,1,2)=0,1*MID(D386,1,2)=2,1*MID(D386,1,2)=3,1*MID(D386,1,2)=4),"",_xlfn.IFS(OR(1*MID(D386,1,2)=1,1*MID(D386,1,2)&gt;=5),1))</f>
        <v/>
      </c>
      <c r="L405" s="68" t="str">
        <f>IFERROR(D382*K405,"")</f>
        <v/>
      </c>
    </row>
    <row r="406" spans="2:12" ht="11.1" customHeight="1">
      <c r="F406" s="24">
        <v>28</v>
      </c>
      <c r="G406" s="17" t="str">
        <f>IF(OR(D379=0,D383="　",1*MID(D386,1,2)=0,1*MID(D386,1,2)=2,1*MID(D386,1,2)=3,1*MID(D386,1,2)=4),"","引抜試験パッカー取付加工")</f>
        <v/>
      </c>
      <c r="H406" s="38" t="str">
        <f>IF(OR(D379=0,D383="　",1*MID(D386,1,2)=0,1*MID(D386,1,2)=2,1*MID(D386,1,2)=3,1*MID(D386,1,2)=4),"","材工")</f>
        <v/>
      </c>
      <c r="I406" s="38" t="str">
        <f>IF(OR(D379=0,D383="　",1*MID(D386,1,2)=0,1*MID(D386,1,2)=2,1*MID(D386,1,2)=3,1*MID(D386,1,2)=4),"","n=1")</f>
        <v/>
      </c>
      <c r="J406" s="79" t="str" cm="1">
        <f t="array" ref="J406">IF(OR(D379=0,D383="　",1*MID(D386,1,2)=0,1*MID(D386,1,2)=2,1*MID(D386,1,2)=3,1*MID(D386,1,2)=4),"",_xlfn.IFS(OR(1*MID(D386,1,2)=1,1*MID(D386,1,2)&gt;=5),"式"))</f>
        <v/>
      </c>
      <c r="K406" s="32" t="str" cm="1">
        <f t="array" ref="K406">IF(OR(D379=0,D383="　",1*MID(D386,1,2)=0,1*MID(D386,1,2)=2,1*MID(D386,1,2)=3,1*MID(D386,1,2)=4),"",_xlfn.IFS(OR(1*MID(D386,1,2)=1,1*MID(D386,1,2)&gt;=5),1))</f>
        <v/>
      </c>
      <c r="L406" s="68" t="str">
        <f>IFERROR(D382*K406,"")</f>
        <v/>
      </c>
    </row>
    <row r="407" spans="2:12" ht="11.1" customHeight="1">
      <c r="F407" s="24">
        <v>29</v>
      </c>
      <c r="G407" s="17" t="str">
        <f>IF(OR(D379=0,D383="　",1*MID(D386,1,2)=0,1*MID(D386,1,2)=2,1*MID(D386,1,2)=3,1*MID(D386,1,2)=4),"","自由長洗浄ﾎｰｽ")</f>
        <v/>
      </c>
      <c r="H407" s="38" t="str">
        <f>IF(OR(D379=0,D383="　",1*MID(D386,1,2)=0,1*MID(D386,1,2)=2,1*MID(D386,1,2)=3,1*MID(D386,1,2)=4),"","φ16/20、ポリエチレン")</f>
        <v/>
      </c>
      <c r="I407" s="38" t="str">
        <f>IF(OR(D379=0,D383="　",1*MID(D386,1,2)=0,1*MID(D386,1,2)=2,1*MID(D386,1,2)=3,1*MID(D386,1,2)=4),"","L=自由長+0.5")</f>
        <v/>
      </c>
      <c r="J407" s="79" t="str">
        <f>IF(OR(D379=0,D383="　",1*MID(D386,1,2)=0,1*MID(D386,1,2)=2,1*MID(D386,1,2)=3,1*MID(D386,1,2)=4),"","m")</f>
        <v/>
      </c>
      <c r="K407" s="32" t="str">
        <f>IF(OR(D379=0,D383="　",1*MID(D386,1,2)=0,1*MID(D386,1,2)=2,1*MID(D386,1,2)=3,1*MID(D386,1,2)=4),"",D393+0.5)</f>
        <v/>
      </c>
      <c r="L407" s="81" t="str">
        <f>IFERROR(D382*K407,"")</f>
        <v/>
      </c>
    </row>
    <row r="408" spans="2:12" ht="11.1" customHeight="1">
      <c r="D408" s="1" t="s">
        <v>9</v>
      </c>
      <c r="F408" s="56">
        <v>30</v>
      </c>
      <c r="G408" s="82" t="str">
        <f>IF(OR(D379=0,D383="　",1*MID(D386,1,2)&lt;=2,1*MID(D386,1,2)=5,MID(D408,6,2)&lt;&gt;"あり"),"","確認ホース")</f>
        <v/>
      </c>
      <c r="H408" s="83" t="str">
        <f>IF(OR(D379=0,D383="　",1*MID(D386,1,2)&lt;=2,1*MID(D386,1,2)=5,MID(D408,6,2)&lt;&gt;"あり"),"","φ17、ポリエチレン")</f>
        <v/>
      </c>
      <c r="I408" s="83"/>
      <c r="J408" s="84" t="str">
        <f>IF(OR(D379=0,D383="　",1*MID(D386,1,2)&lt;=2,1*MID(D386,1,2)=5,MID(D408,6,2)&lt;&gt;"あり"),"","m")</f>
        <v/>
      </c>
      <c r="K408" s="85" t="str">
        <f>IF(OR(D378=0,D383="　",1*MID(D386,1,2)&lt;=2,1*MID(D386,1,2)=5,MID(D408,6,2)&lt;&gt;"あり"),"",0.5+MROUND(D393+D395,0.1))</f>
        <v/>
      </c>
      <c r="L408" s="86" t="str">
        <f>IFERROR(D382*K408,"")</f>
        <v/>
      </c>
    </row>
    <row r="410" spans="2:12" ht="11.1" customHeight="1">
      <c r="B410" s="19" t="s">
        <v>1</v>
      </c>
      <c r="D410" s="4"/>
      <c r="G410" s="73" t="s">
        <v>39</v>
      </c>
    </row>
    <row r="411" spans="2:12" ht="11.1" customHeight="1">
      <c r="G411" s="99">
        <f>D412</f>
        <v>13</v>
      </c>
      <c r="H411" s="55" t="str">
        <f>IF(D413=0,"",D414&amp;" "&amp;D417&amp; "："&amp;TEXT(D430,"L=##0.00")&amp;"m"&amp;TEXT(D428,",L1=##0.00")&amp;"m"&amp;TEXT(D427,",Lf=##0.00")&amp;"m"&amp;TEXT(D423,",LA=##0.00")&amp;"m"&amp;TEXT(D429,",L2=##0.00")&amp;"m")</f>
        <v>(13)1段/2段 EHD5-3H：L=17.20m,L1=1.00m,Lf=9.00m,LA=7.00m,L2=0.20m</v>
      </c>
      <c r="I411" s="55"/>
      <c r="J411" s="18"/>
    </row>
    <row r="412" spans="2:12" ht="11.1" customHeight="1">
      <c r="B412" s="13" t="s">
        <v>2</v>
      </c>
      <c r="C412" s="3" t="s">
        <v>3</v>
      </c>
      <c r="D412" s="98">
        <f>1+(ROW()-ROW($D$4))/34</f>
        <v>13</v>
      </c>
      <c r="F412" s="20"/>
      <c r="G412" s="21" t="s">
        <v>21</v>
      </c>
      <c r="H412" s="22" t="s">
        <v>22</v>
      </c>
      <c r="I412" s="22" t="s">
        <v>38</v>
      </c>
      <c r="J412" s="23" t="s">
        <v>23</v>
      </c>
      <c r="K412" s="22" t="s">
        <v>24</v>
      </c>
      <c r="L412" s="3" t="s">
        <v>4</v>
      </c>
    </row>
    <row r="413" spans="2:12" ht="11.1" customHeight="1">
      <c r="B413" s="28" t="s">
        <v>25</v>
      </c>
      <c r="C413" s="5" t="s">
        <v>26</v>
      </c>
      <c r="D413" s="6">
        <v>1</v>
      </c>
      <c r="F413" s="24">
        <v>1</v>
      </c>
      <c r="G413" s="25" t="str">
        <f>IF(OR(D413=0,D417="　"),"","硅砂付着ECFﾃﾝﾄﾞﾝ")</f>
        <v>硅砂付着ECFﾃﾝﾄﾞﾝ</v>
      </c>
      <c r="H413" s="26" t="str">
        <f>IF(OR(D413=0,D417="　"),"",D417&amp;" ("&amp;MID(D417,6,FIND("H",D417,6)-6)&amp;IF(MID(D417,4,1)="5","φ12.7","φ15.2")&amp;")")</f>
        <v>EHD5-3H (3φ12.7)</v>
      </c>
      <c r="I413" s="57" t="str">
        <f>IF(OR(D413=0,D417="　"),"","W=テンドン長×PC鋼より線本数×"&amp;IF(MID(D417,4,1)="5","0.774","1.101")&amp;"kg/m")</f>
        <v>W=テンドン長×PC鋼より線本数×0.774kg/m</v>
      </c>
      <c r="J413" s="14" t="str">
        <f>IF(OR(D413=0,D417="　"),"","kg")</f>
        <v>kg</v>
      </c>
      <c r="K413" s="27">
        <f>IF(OR(D413=0,D417="　"),"",MROUND(D430*MID(D417,6,FIND("H",D417,6)-6)*IF(MID(D417,4,1)="5","0.774","1.101"),0.01))</f>
        <v>39.94</v>
      </c>
      <c r="L413" s="15">
        <f>IFERROR(D416*K413,"")</f>
        <v>399.4</v>
      </c>
    </row>
    <row r="414" spans="2:12" ht="11.1" customHeight="1">
      <c r="B414" s="31" t="s">
        <v>45</v>
      </c>
      <c r="C414" s="71" t="s">
        <v>6</v>
      </c>
      <c r="D414" s="74" t="s">
        <v>99</v>
      </c>
      <c r="F414" s="24">
        <v>2</v>
      </c>
      <c r="G414" s="17" t="str">
        <f>IF(OR(D413=0,D417="　"),"","アンカー工場加工")</f>
        <v>アンカー工場加工</v>
      </c>
      <c r="H414" s="29"/>
      <c r="I414" s="46" t="str">
        <f>IF(OR(D413=0,D417="　"),"","L=テンドン長")</f>
        <v>L=テンドン長</v>
      </c>
      <c r="J414" s="16" t="str">
        <f>IF(OR(D413=0,D417="　"),"","m")</f>
        <v>m</v>
      </c>
      <c r="K414" s="30">
        <f>IF(OR(D413=0,D417="　"),"",MROUND(D430,0.1))</f>
        <v>17.2</v>
      </c>
      <c r="L414" s="67">
        <f>IFERROR(D416*K414,"")</f>
        <v>172</v>
      </c>
    </row>
    <row r="415" spans="2:12" ht="11.1" customHeight="1">
      <c r="B415" s="34" t="s">
        <v>7</v>
      </c>
      <c r="C415" s="49" t="s">
        <v>6</v>
      </c>
      <c r="D415" s="2" t="s">
        <v>34</v>
      </c>
      <c r="F415" s="24">
        <v>3</v>
      </c>
      <c r="G415" s="17" t="str">
        <f>IF(OR(D413=0,D417="　",1*MID(D420,1,2)=1,1*MID(D420,1,2)&gt;=5),"","頭部キャップ")</f>
        <v>頭部キャップ</v>
      </c>
      <c r="H415" s="29" t="str" cm="1">
        <f t="array" ref="H415">IF(OR(D413=0,D417="　",1*MID(D420,1,2)=1,1*MID(D420,1,2)&gt;=5),"",IF(MID(D417,4,1)="5",_xlfn.SWITCH(1*MID(D417,6,FIND("H",D417,6)-6),1,"S",2,"S",3,"S",4,"S",5,"M",6,"M",7,"M",8,"L",9,"L",10,"L",11,"L",12,"L"),_xlfn.SWITCH(1*MID(D417,6,FIND("H",D417,6)-6),1,"S",2,"S",3,"M",4,"M",5,"L",6,"L",7,"L",8,"LL",9,"LL",10,"LL",11,"LL",12,"LL",13,"LL",14,"LL",15,"3L",16,"3L",17,"3L",18,"3L",19,"3L"))&amp;"型"&amp;MID(D418,IF(MID(D418,1,1)="G",4,1),10)&amp;IF(OR(MID(D418,1,2)="透明",MID(D418,1,2)="5窓"),"、PC樹脂","")&amp;IF(MID(D418,4,2)="鋼製","、SS400相当、HDZT77めっき","、ｱﾙﾐAC4C相当"))&amp;_xlfn.IFS(OR(D413=0,D417="　",MID(D415,1,3)="防食Ⅱ"),"",MID(D415,5,2)="塩害","、ﾀｹｺｰﾄ処理",MID(D415,5,2)="酸性","、重防食処理")</f>
        <v>S型透明ｷｬｯﾌﾟ、PC樹脂、ｱﾙﾐAC4C相当</v>
      </c>
      <c r="I415" s="52" t="str">
        <f>IF(OR(D413=0,D417="　",1*MID(D420,1,2)=1,1*MID(D420,1,2)&gt;=5),"","n=1")</f>
        <v>n=1</v>
      </c>
      <c r="J415" s="16" t="str">
        <f>IF(OR(D413=0,D417="　",1*MID(D420,1,2)=1,1*MID(D420,1,2)&gt;=5),"","個")</f>
        <v>個</v>
      </c>
      <c r="K415" s="32">
        <f>IF(OR(D413=0,D417="　",1*MID(D420,1,2)=1,1*MID(D420,1,2)&gt;=5),"",1)</f>
        <v>1</v>
      </c>
      <c r="L415" s="68">
        <f>IFERROR(D416*K415,"")</f>
        <v>10</v>
      </c>
    </row>
    <row r="416" spans="2:12" ht="11.1" customHeight="1">
      <c r="B416" s="31" t="s">
        <v>27</v>
      </c>
      <c r="C416" s="10" t="s">
        <v>5</v>
      </c>
      <c r="D416" s="75">
        <v>10</v>
      </c>
      <c r="F416" s="24">
        <v>4</v>
      </c>
      <c r="G416" s="17" t="str">
        <f>IF(OR(D413=0,D417="　",1*MID(D420,1,2)=1,1*MID(D420,1,2)&gt;=5),"","アンカーヘッド")</f>
        <v>アンカーヘッド</v>
      </c>
      <c r="H416" s="29" t="str" cm="1">
        <f t="array" ref="H416">IF(OR(D413=0,D417="　",1*MID(D420,1,2)=1,1*MID(D420,1,2)&gt;=5),"",IF(MID(D417,4,1)="5","G5"&amp;_xlfn.SWITCH(1*MID(D417,6,FIND("H",D417,6)-6),1,"01",2,"02",3,"03",4,"04",5,"07",6,"07",7,"07",8,"09",9,"09",10,"12",11,"12",12,"12"),"G6"&amp;_xlfn.SWITCH(1*MID(D417,6,FIND("H",D417,6)-6),1,"01",2,"02",3,"03",4,"04",5,"07",6,"07",7,"07",8,"09",9,"09",10,"12",11,"12",12,"12",13,"14",14,"14",15,"19",16,"19",17,"19",18,"19",19,"19"))&amp;"、S45C相当")&amp;IF(OR(D413=0,D417="　",MID(D418,1,3)="ｱﾙﾐ",1*MID(D420,1,2)=1,1*MID(D420,1,2)&gt;=5),"","、無電解Niめっき")</f>
        <v>G503、S45C相当、無電解Niめっき</v>
      </c>
      <c r="I416" s="52" t="str">
        <f>IF(OR(D413=0,D417="　",1*MID(D420,1,2)=1,1*MID(D420,1,2)&gt;=5),"","n=1")</f>
        <v>n=1</v>
      </c>
      <c r="J416" s="16" t="str">
        <f>IF(OR(D413=0,D417="　",1*MID(D420,1,2)=1,1*MID(D420,1,2)&gt;=5),"","個")</f>
        <v>個</v>
      </c>
      <c r="K416" s="32">
        <f>IF(OR(D413=0,D417="　",1*MID(D420,1,2)=1,1*MID(D420,1,2)&gt;=5),"",1)</f>
        <v>1</v>
      </c>
      <c r="L416" s="68">
        <f>IFERROR(D416*K416,"")</f>
        <v>10</v>
      </c>
    </row>
    <row r="417" spans="2:12" ht="11.1" customHeight="1">
      <c r="B417" s="33" t="s">
        <v>28</v>
      </c>
      <c r="C417" s="71" t="s">
        <v>6</v>
      </c>
      <c r="D417" s="7" t="s">
        <v>0</v>
      </c>
      <c r="F417" s="24">
        <v>5</v>
      </c>
      <c r="G417" s="17" t="str">
        <f>IF(OR(D413=0,D417="　",1*MID(D420,1,2)=1,1*MID(D420,1,2)&gt;=5),"","ナット")</f>
        <v>ナット</v>
      </c>
      <c r="H417" s="29" t="str" cm="1">
        <f t="array" ref="H417">IF(OR(D413=0,D417="　",1*MID(D420,1,2)=1,1*MID(D420,1,2)&gt;=5),"",IF(MID(D417,4,1)="5","G5"&amp;_xlfn.SWITCH(1*MID(D417,6,FIND("H",D417,6)-6),1,"01",2,"02",3,"03",4,"04",5,"07",6,"07",7,"07",8,"09",9,"09",10,"12",11,"12",12,"12"),"G6"&amp;_xlfn.SWITCH(1*MID(D417,6,FIND("H",D417,6)-6),1,"01",2,"02",3,"03",4,"04",5,"07",6,"07",7,"07",8,"09",9,"09",10,"12",11,"12",12,"12",13,"14",14,"14",15,"19",16,"19",17,"19",18,"19",19,"19"))&amp;"、S45C相当")&amp;IF(OR(D413=0,D417="　",MID(D418,1,3)="ｱﾙﾐ",1*MID(D420,1,2)=1,1*MID(D420,1,2)&gt;=5),"","、無電解Niめっき")</f>
        <v>G503、S45C相当、無電解Niめっき</v>
      </c>
      <c r="I417" s="52" t="str">
        <f>IF(OR(D413=0,D417="　",1*MID(D420,1,2)=1,1*MID(D420,1,2)&gt;=5),"","n=1")</f>
        <v>n=1</v>
      </c>
      <c r="J417" s="16" t="str">
        <f>IF(OR(D413=0,D417="　",1*MID(D420,1,2)=1,1*MID(D420,1,2)&gt;=5),"","個")</f>
        <v>個</v>
      </c>
      <c r="K417" s="32">
        <f>IF(OR(D413=0,D417="　",1*MID(D420,1,2)=1,1*MID(D420,1,2)&gt;=5),"",1)</f>
        <v>1</v>
      </c>
      <c r="L417" s="68">
        <f>IFERROR(D416*K417,"")</f>
        <v>10</v>
      </c>
    </row>
    <row r="418" spans="2:12" ht="11.1" customHeight="1">
      <c r="B418" s="35" t="s">
        <v>29</v>
      </c>
      <c r="C418" s="49" t="s">
        <v>6</v>
      </c>
      <c r="D418" s="2" t="s">
        <v>35</v>
      </c>
      <c r="F418" s="24">
        <v>6</v>
      </c>
      <c r="G418" s="17" t="str">
        <f>IF(OR(D413=0,D417="　",1*MID(D420,1,2)=1,1*MID(D420,1,2)&gt;=5),"","くさび")</f>
        <v>くさび</v>
      </c>
      <c r="H418" s="29" t="str">
        <f>IF(OR(D413=0,D417="　",1*MID(D420,1,2)=1,1*MID(D420,1,2)&gt;=5),"",IF(1*MID(D417,4,1)=5,"ECF12.7","ECF15.2")&amp;"、SCM415相当")&amp;IF(OR(D413=0,D417="　",MID(D418,1,3)="ｱﾙﾐ",1*MID(D420,1,2)=1,1*MID(D420,1,2)&gt;=5),"","、無電解Niめっき")</f>
        <v>ECF12.7、SCM415相当、無電解Niめっき</v>
      </c>
      <c r="I418" s="52" t="str">
        <f>IF(OR(D413=0,D417="　",1*MID(D420,1,2)=1,1*MID(D420,1,2)&gt;=5),"","n=1")</f>
        <v>n=1</v>
      </c>
      <c r="J418" s="16" t="str">
        <f>IF(OR(D413=0,D417="　",1*MID(D420,1,2)=1,1*MID(D420,1,2)&gt;=5),"","式")</f>
        <v>式</v>
      </c>
      <c r="K418" s="32">
        <f>IF(OR(D413=0,D417="　",1*MID(D420,1,2)=1,1*MID(D420,1,2)&gt;=5),"",1)</f>
        <v>1</v>
      </c>
      <c r="L418" s="68">
        <f>IFERROR(D416*K418,"")</f>
        <v>10</v>
      </c>
    </row>
    <row r="419" spans="2:12" ht="11.1" customHeight="1">
      <c r="B419" s="35" t="s">
        <v>8</v>
      </c>
      <c r="C419" s="49" t="s">
        <v>6</v>
      </c>
      <c r="D419" s="2" t="s">
        <v>36</v>
      </c>
      <c r="F419" s="24">
        <v>7</v>
      </c>
      <c r="G419" s="17" t="str">
        <f>IF(OR(D413=0,D417="　",1*MID(D420,1,2)=1,1*MID(D420,1,2)&gt;=5),"","押え板")</f>
        <v>押え板</v>
      </c>
      <c r="H419" s="29" t="str" cm="1">
        <f t="array" ref="H419">IF(OR(D413=0,D417="　",1*MID(D420,1,2)=1,1*MID(D420,1,2)&gt;=5),"",IF(MID(D417,4,1)="5","G5"&amp;_xlfn.SWITCH(1*MID(D417,6,FIND("H",D417,6)-6),1,"01",2,"04",3,"03",4,"04",5,"07",6,"07",7,"07",8,"12",9,"12",10,"12",11,"12",12,"12"),"G6"&amp;_xlfn.SWITCH(1*MID(D417,6,FIND("H",D417,6)-6),1,"01",2,"02",3,"03",4,"04",5,"07",6,"07",7,"07",8,"12",9,"12",10,"12",11,"12",12,"12",13,"14",14,"14",15,"19",16,"19",17,"19",18,"19",19,"19"))&amp;"、SS400相当")&amp;IF(OR(D413=0,D417="　",1*MID(D420,1,2)=1,1*MID(D420,1,2)&gt;=5),"","、"&amp;_xlfn.IFS(MID(D415,1,3)="防食Ⅱ","HDZT77めっき",MID(D415,5,2)="塩害","ｱﾙﾐﾅｲｽﾞ処理",MID(D415,5,2)="酸性","重防食処理"))</f>
        <v>G503、SS400相当、HDZT77めっき</v>
      </c>
      <c r="I419" s="52" t="str">
        <f>IF(OR(D413=0,D417="　",1*MID(D420,1,2)=1,1*MID(D420,1,2)&gt;=5),"","n=1")</f>
        <v>n=1</v>
      </c>
      <c r="J419" s="16" t="str">
        <f>IF(OR(D413=0,D417="　",1*MID(D420,1,2)=1,1*MID(D420,1,2)&gt;=5),"","枚")</f>
        <v>枚</v>
      </c>
      <c r="K419" s="32">
        <f>IF(OR(D413=0,D417="　",1*MID(D420,1,2)=1,1*MID(D420,1,2)&gt;=5),"",1)</f>
        <v>1</v>
      </c>
      <c r="L419" s="68">
        <f>IFERROR(D416*K419,"")</f>
        <v>10</v>
      </c>
    </row>
    <row r="420" spans="2:12" ht="11.1" customHeight="1">
      <c r="B420" s="36" t="s">
        <v>87</v>
      </c>
      <c r="C420" s="72" t="s">
        <v>6</v>
      </c>
      <c r="D420" s="8" t="s">
        <v>42</v>
      </c>
      <c r="F420" s="24">
        <v>8</v>
      </c>
      <c r="G420" s="17" t="str">
        <f>IF(OR(D413=0,D417="　"),"",IF(OR(1*MID(D420,1,2)=1,1*MID(D420,1,2)&gt;=5,MID(D419,1,3)&lt;&gt;"のり面"),"","管付")&amp;"支圧板")</f>
        <v>管付支圧板</v>
      </c>
      <c r="H420" s="29" t="str" cm="1">
        <f t="array" ref="H420">IF(OR(D413=0,D417="　"),"","PL"&amp;IF(OR(1*MID(D420,1,2)=1,1*MID(D420,1,2)&gt;=5,MID(D419,1,3)&lt;&gt;"のり面"),"","P")&amp;IF(MID(D417,4,1)="5","5-"&amp;_xlfn.SWITCH(1*MID(D417,6,FIND("H",D417,6)-6),1,"1",2,"2",3,"3",4,"4",5,"5",6,"6",7,"7",8,"9",9,"9",10,"10",11,"11",12,"12"),"6-"&amp;_xlfn.SWITCH(1*MID(D417,6,FIND("H",D417,6)-6),1,"1",2,"2",3,"3",4,"4",5,"6",6,"6",7,"7",8,"8",9,"9",10,"10",11,"11",12,"12",13,"14",14,"14",15,"16",16,"16",17,"17",18,"18",19,"19"))&amp;"、SS400相当")&amp;IF(OR(D413=0,D417="　"),"","、"&amp;_xlfn.IFS(MID(D415,1,3)="防食Ⅱ","HDZT77めっき",MID(D415,5,2)="塩害","ｱﾙﾐﾅｲｽﾞ処理",MID(D415,5,2)="酸性","重防食処理"))</f>
        <v>PLP5-3、SS400相当、HDZT77めっき</v>
      </c>
      <c r="I420" s="52" t="str">
        <f>IF(OR(D413=0,D417="　"),"","n=1")</f>
        <v>n=1</v>
      </c>
      <c r="J420" s="16" t="str">
        <f>IF(OR(D413=0,D417="　"),"","枚")</f>
        <v>枚</v>
      </c>
      <c r="K420" s="32">
        <f>IF(OR(D413=0,D417="　"),"",1)</f>
        <v>1</v>
      </c>
      <c r="L420" s="68">
        <f>IFERROR(D416*K420,"")</f>
        <v>10</v>
      </c>
    </row>
    <row r="421" spans="2:12" ht="11.1" customHeight="1">
      <c r="B421" s="37" t="str" cm="1">
        <f t="array" ref="B421">"頭部自由長"&amp;_xlfn.IFS(MID(D419,1,2)="なし","",MID(D419,1,3)="受圧体","(受圧体)",MID(D419,1,3)="のり面","(角度台座＋受圧体)",MID(D419,1,3)="構造物","(壁面台座)",MID(D419,1,3)="土留め","(台座+腹起し)",MID(D419,1,3)="個別台","(個別台座+腹起し)")&amp;"　Lfh"</f>
        <v>頭部自由長(角度台座＋受圧体)　Lfh</v>
      </c>
      <c r="C421" s="9" t="s">
        <v>10</v>
      </c>
      <c r="D421" s="75">
        <v>0.5</v>
      </c>
      <c r="F421" s="24">
        <v>9</v>
      </c>
      <c r="G421" s="17" t="str">
        <f>IF(OR(D413=0,D417="　",1*MID(D420,1,2)=1,1*MID(D420,1,2)&gt;=5),"","止水ゴム")</f>
        <v>止水ゴム</v>
      </c>
      <c r="H421" s="29" t="str">
        <f>IF(OR(D413=0,D417="　",1*MID(D420,1,2)=1,1*MID(D420,1,2)&gt;=5),"","G"&amp;MID(D417,4,4)&amp;"、NBR45相当")</f>
        <v>G5-3H、NBR45相当</v>
      </c>
      <c r="I421" s="52" t="str">
        <f>IF(OR(D413=0,D417="　",1*MID(D420,1,2)=1,1*MID(D420,1,2)&gt;=5),"","n=1")</f>
        <v>n=1</v>
      </c>
      <c r="J421" s="16" t="str">
        <f>IF(OR(D413=0,D417="　",1*MID(D420,1,2)=1,1*MID(D420,1,2)&gt;=5),"","個")</f>
        <v>個</v>
      </c>
      <c r="K421" s="32">
        <f>IF(OR(D413=0,D417="　",1*MID(D420,1,2)=1,1*MID(D420,1,2)&gt;=5),"",1)</f>
        <v>1</v>
      </c>
      <c r="L421" s="68">
        <f>IFERROR(D416*K421,"")</f>
        <v>10</v>
      </c>
    </row>
    <row r="422" spans="2:12" ht="11.1" customHeight="1">
      <c r="B422" s="31" t="s">
        <v>11</v>
      </c>
      <c r="C422" s="10" t="s">
        <v>10</v>
      </c>
      <c r="D422" s="75">
        <v>8.5</v>
      </c>
      <c r="F422" s="24">
        <v>10</v>
      </c>
      <c r="G422" s="17" t="str" cm="1">
        <f t="array" ref="G422">IF(OR(D413=0,D417="　",1*MID(D420,1,2)=1,1*MID(D420,1,2)&gt;=5),"",_xlfn.IFS(MID(D418,1,3)="ｱﾙﾐ","頭部防錆油",MID(D418,1,3)&lt;&gt;"ｱﾙﾐ","余長キャップ"))</f>
        <v>余長キャップ</v>
      </c>
      <c r="H422" s="29" t="str" cm="1">
        <f t="array" ref="H422">_xlfn.IFS(OR(D413=0,D417="　",1*MID(D420,1,2)=1,1*MID(D420,1,2)&gt;=5),"",MID(D418,1,3)="ｱﾙﾐ","PCコートC",MID(D418,1,3)&lt;&gt;"ｱﾙﾐ","TC"&amp;MID(D417,4,1)&amp;"、高密度ポリエチレン")</f>
        <v>TC5、高密度ポリエチレン</v>
      </c>
      <c r="I422" s="52" t="str" cm="1">
        <f t="array" ref="I422">_xlfn.IFS(OR(D413=0,D417="　",1*MID(D420,1,2)=1,1*MID(D420,1,2)&gt;=5),"",MID(D418,1,3)="ｱﾙﾐ","W="&amp;IF(MID(D417,4,1)="5",_xlfn.SWITCH(1*MID(LEFT(D417, LEN(D417)-1),6,2),1,1.9,2,1.3,3,1.3,4,1.3,5,1.6,6,1.6,7,1.6,8,3.1,9,3.1,10,3.1,11,3.1,12,3.1),"G6"&amp;_xlfn.SWITCH(1*MID(LEFT(D417, LEN(D417)-1),6,2),1,1.8,2,1.3,3,1.8,4,1.8,5,3.3,6,3.3,7,3.3,8,9.9,9,9.9,10,9.9,11,9.9,12,9.9,13,9.9,14,9.9)),MID(D418,1,3)&lt;&gt;"ｱﾙﾐ","n=1")</f>
        <v>n=1</v>
      </c>
      <c r="J422" s="16" t="str" cm="1">
        <f t="array" ref="J422">_xlfn.IFS(OR(D413=0,D417="　",1*MID(D420,1,2)=1,1*MID(D420,1,2)&gt;=5),"",MID(D418,1,3)="ｱﾙﾐ","kg",MID(D418,1,3)&lt;&gt;"ｱﾙﾐ","式")</f>
        <v>式</v>
      </c>
      <c r="K422" s="80" cm="1">
        <f t="array" ref="K422">_xlfn.IFS(OR(D413=0,D417="　",1*MID(D420,1,2)=1,1*MID(D420,1,2)&gt;=5),"",MID(D418,1,3)="ｱﾙﾐ",_xlfn.SWITCH(MID(D417,4,1),"5",_xlfn.SWITCH(1*MID(D417,6,FIND("H",D417,6)-6),1,1.9,2,1.3,3,1.3,4,1.3,5,1.6,6,1.6,7,1.6,8,3.1,9,3.1,10,3.1,11,3.1,12,3.1),"6",_xlfn.SWITCH(1*MID(D417,6,FIND("H",D417,6)-6),1,1.8,2,1.3,3,1.8,4,1.8,5,3.3,6,3.3,7,3.3,8,9.9,9,9.9,10,9.9,11,9.9,12,9.9,13,9.9,14,9.9)),MID(D418,1,3)&lt;&gt;"ｱﾙﾐ",1)</f>
        <v>1</v>
      </c>
      <c r="L422" s="68">
        <f>IFERROR(D416*K422,"")</f>
        <v>10</v>
      </c>
    </row>
    <row r="423" spans="2:12" ht="11.1" customHeight="1">
      <c r="B423" s="39" t="s">
        <v>18</v>
      </c>
      <c r="C423" s="40" t="s">
        <v>10</v>
      </c>
      <c r="D423" s="75">
        <v>7</v>
      </c>
      <c r="F423" s="24">
        <v>11</v>
      </c>
      <c r="G423" s="17" t="str">
        <f>IF(OR(D413=0,D417="　",1*MID(D420,1,2)=1,1*MID(D420,1,2)&gt;=5),"","配列スペーサ")</f>
        <v>配列スペーサ</v>
      </c>
      <c r="H423" s="29" t="str">
        <f>IF(OR(D413=0,D417="　",1*MID(D420,1,2)=1,1*MID(D420,1,2)&gt;=5),"",IF(MID(D417,4,1)="5","PS5-"&amp;_xlfn.SWITCH(1*MID(D417,6,FIND("H",D417,6)-6),1,"7",2,"2",3,"3",4,"4",5,"7",6,"7",7,"7",8,"12",9,"12",10,"12",11,"12",12,"12"),"PS6-"&amp;_xlfn.SWITCH(1*MID(D417,6,FIND("H",D417,6)-6),1,"7",2,"2",3,"3",4,"4",5,"7",6,"7",7,"7",8,"12",9,"12",10,"12",11,"12",12,"12",13,"14",14,"14",15,"19",16,"19",17,"19",18,"19",19,"19"))&amp;"、ポリエチレン")</f>
        <v>PS5-3、ポリエチレン</v>
      </c>
      <c r="I423" s="52" t="str">
        <f>IF(OR(D413=0,D417="　",1*MID(D420,1,2)=1,1*MID(D420,1,2)&gt;=5),"","n=2")</f>
        <v>n=2</v>
      </c>
      <c r="J423" s="16" t="str">
        <f>IF(OR(D413=0,D417="　",1*MID(D420,1,2)=1,1*MID(D420,1,2)&gt;=5),"","個")</f>
        <v>個</v>
      </c>
      <c r="K423" s="32">
        <f>IF(OR(D413=0,D417="　",1*MID(D420,1,2)=1,1*MID(D420,1,2)&gt;=5),"",2)</f>
        <v>2</v>
      </c>
      <c r="L423" s="68">
        <f>IFERROR(D416*K423,"")</f>
        <v>20</v>
      </c>
    </row>
    <row r="424" spans="2:12" ht="11.1" customHeight="1">
      <c r="B424" s="36" t="s">
        <v>17</v>
      </c>
      <c r="C424" s="11" t="s">
        <v>16</v>
      </c>
      <c r="D424" s="54">
        <v>90</v>
      </c>
      <c r="F424" s="24">
        <v>12</v>
      </c>
      <c r="G424" s="17" t="str">
        <f>IF(OR(D413=0,D417="　"),"","スペーサ")</f>
        <v>スペーサ</v>
      </c>
      <c r="H424" s="29" t="str" cm="1">
        <f t="array" ref="H424">IF(OR(D413=0,D417="　"),"",IF(MID(D417,4,1)="5","S5-"&amp;_xlfn.IFS(1*MID(D417,6,FIND("H",D417,6)-6)&lt;6,"5",1*MID(D417,6,FIND("H",D417,6)-6)&lt;9,"8",1*MID(D417,6,FIND("H",D417,6)-6)&gt;8,"12"),"S6-"&amp;_xlfn.IFS(1*MID(D417,6,FIND("H",D417,6)-6)&lt;4,"3",1*MID(D417,6,FIND("H",D417,6)-6)&lt;7,"6",1*MID(D417,6,FIND("H",D417,6)-6)&lt;10,"9",1*MID(D417,6,FIND("H",D417,6)-6)&lt;13,"12",1*MID(D417,6,FIND("H",D417,6)-6)&lt;15,"14",1*MID(D417,6,FIND("H",D417,6)-6)&lt;20,"19"))&amp;"、ポリプロピレン")</f>
        <v>S5-5、ポリプロピレン</v>
      </c>
      <c r="I424" s="58" t="str">
        <f>IF(OR(D413=0,D417="　"),"","n=mround(アンカー体長－0.4)÷@1.0m, 1.0)")</f>
        <v>n=mround(アンカー体長－0.4)÷@1.0m, 1.0)</v>
      </c>
      <c r="J424" s="16" t="str">
        <f>IF(OR(D413=0,D417="　"),"","個")</f>
        <v>個</v>
      </c>
      <c r="K424" s="38">
        <f>IF(OR(D413=0,D417="　"),"",MROUND((D423-0.4)/1,1))</f>
        <v>7</v>
      </c>
      <c r="L424" s="67">
        <f>IFERROR(D416*K424,"")</f>
        <v>70</v>
      </c>
    </row>
    <row r="425" spans="2:12" ht="11.1" customHeight="1">
      <c r="B425" s="41" t="s">
        <v>37</v>
      </c>
      <c r="C425" s="5" t="s">
        <v>16</v>
      </c>
      <c r="D425" s="66" cm="1">
        <f t="array" ref="D425">IF(OR(D413=0,D417="　"),"",_xlfn.SWITCH(1*MID(D420,1,2),0,_xlfn.SWITCH(1*MID(D417,4,1),5,_xlfn.SWITCH(1*MID(LEFT(D417, LEN(D417)-1),6,2),1,90,2,90,3,90,4,90,5,90,6,115,7,115,8,115,9,135,10,135,11,135,12,135),6,_xlfn.SWITCH(1*MID(LEFT(D417, LEN(D417)-1),6,2),1,90,2,90,3,90,4,115,5,115,6,115,7,135,8,135,9,135,10,146,11,146,12,146,13,165,14,165)),1,_xlfn.SWITCH(1*MID(D417,4,1),5,_xlfn.SWITCH(1*MID(LEFT(D417, LEN(D417)-1),6,2),1,90,2,90,3,90,4,90,5,115,6,115,7,135,8,135,9,135,10,135,11,165,12,165),6,_xlfn.SWITCH(1*MID(LEFT(D417, LEN(D417)-1),6,2),1,90,2,90,3,115,4,115,5,135,6,135,7,135,8,135,9,135,10,165,11,165,12,165,13,165,14,165)),2,_xlfn.SWITCH(1*MID(D417,4,1),5,_xlfn.SWITCH(1*MID(LEFT(D417, LEN(D417)-1),6,2),1,90,2,90,3,115,4,115,5,115,6,115,7,135,8,135,9,146,10,146,11,146,12,146),6,_xlfn.SWITCH(1*MID(LEFT(D417, LEN(D417)-1),6,2),1,90,2,90,3,115,4,115,5,135,6,135,7,146,8,146,9,146,10,165,11,165,12,165,13,216,14,216)),3,_xlfn.SWITCH(1*MID(D417,4,1),5,_xlfn.SWITCH(1*MID(LEFT(D417, LEN(D417)-1),6,2),1,115,2,115,3,115,4,115,5,115,6,135,7,135,8,135,9,146,10,146,11,146,12,146),6,_xlfn.SWITCH(1*MID(LEFT(D417, LEN(D417)-1),6,2),1,115,2,115,3,115,4,135,5,135,6,135,7,146,8,146,9,146,10,165,11,165,12,165,13,216,14,216)),4,_xlfn.SWITCH(1*MID(D417,4,1),5,_xlfn.SWITCH(1*MID(LEFT(D417, LEN(D417)-1),6,2),1,115,2,115,3,115,4,115,5,115,6,135,7,135,8,135,9,146,10,146,11,146,12,146),6,_xlfn.SWITCH(1*MID(LEFT(D417, LEN(D417)-1),6,2),1,115,2,115,3,115,4,135,5,135,6,135,7,146,8,146,9,146,10,165,11,165,12,165,13,216,14,216)),5,_xlfn.SWITCH(1*MID(D417,4,1),5,_xlfn.SWITCH(1*MID(LEFT(D417, LEN(D417)-1),6,2),1,90,2,90,3,115,4,115,5,115,6,115,7,135,8,135,9,165,10,165,11,165,12,165),6,_xlfn.SWITCH(1*MID(LEFT(D417, LEN(D417)-1),6,2),1,90,2,90,3,115,4,115,5,135,6,135,7,165,8,165,9,165,10,165,11,165,12,165,13,216,14,216)),6,_xlfn.SWITCH(1*MID(D417,4,1),5,_xlfn.SWITCH(1*MID(LEFT(D417, LEN(D417)-1),6,2),1,115,2,115,3,115,4,115,5,115,6,135,7,135,8,135,9,165,10,165,11,165,12,165),6,_xlfn.SWITCH(1*MID(LEFT(D417, LEN(D417)-1),6,2),1,115,2,115,3,115,4,135,5,135,6,135,7,165,8,165,9,165,10,165,11,165,12,165,13,216,14,216)),7,_xlfn.SWITCH(1*MID(D417,4,1),5,_xlfn.SWITCH(1*MID(LEFT(D417, LEN(D417)-1),6,2),1,115,2,115,3,115,4,115,5,115,6,135,7,135,8,135,9,165,10,165,11,165,12,165),6,_xlfn.SWITCH(1*MID(LEFT(D417, LEN(D417)-1),6,2),1,115,2,115,3,115,4,135,5,135,6,135,7,165,8,165,9,165,10,165,11,165,12,165,13,216,14,216))))</f>
        <v>90</v>
      </c>
      <c r="F425" s="24">
        <v>13</v>
      </c>
      <c r="G425" s="17" t="str">
        <f>IF(OR(D413=0,D417="　"),"","ﾊﾟｲﾛｯﾄｷｬｯﾌﾟ")</f>
        <v>ﾊﾟｲﾛｯﾄｷｬｯﾌﾟ</v>
      </c>
      <c r="H425" s="29" t="str" cm="1">
        <f t="array" ref="H425">IF(OR(D413=0,D417="　"),"",IF(MID(D417,4,1)="5","PC5-"&amp;_xlfn.IFS(1*MID(D417,6,FIND("H",D417,6)-6)&lt;5,"4",1*MID(D417,6,FIND("H",D417,6)-6)&lt;8,"7",1*MID(D417,6,FIND("H",D417,6)-6)&lt;10,"9",1*MID(D417,6,FIND("H",D417,6)-6)&gt;9,"12"),"PC6-"&amp;_xlfn.IFS(1*MID(D417,6,FIND("H",D417,6)-6)&lt;4,"3",1*MID(D417,6,FIND("H",D417,6)-6)&lt;8,"7",1*MID(D417,6,FIND("H",D417,6)-6)&lt;13,"12",1*MID(D417,6,FIND("H",D417,6)-6)&lt;15,"14",1*MID(D417,6,FIND("H",D417,6)-6)&lt;20,"19"))&amp;"、ポリプロピレン")</f>
        <v>PC5-4、ポリプロピレン</v>
      </c>
      <c r="I425" s="52" t="str">
        <f>IF(OR(D413=0,D417="　"),"","n=1")</f>
        <v>n=1</v>
      </c>
      <c r="J425" s="16" t="str">
        <f>IF(OR(D413=0,D417="　"),"","個")</f>
        <v>個</v>
      </c>
      <c r="K425" s="32">
        <f>IF(OR(D413=0,D417="　"),"",1)</f>
        <v>1</v>
      </c>
      <c r="L425" s="68">
        <f>IFERROR(D416*K425,"")</f>
        <v>10</v>
      </c>
    </row>
    <row r="426" spans="2:12" ht="11.1" customHeight="1">
      <c r="B426" s="43" t="s">
        <v>30</v>
      </c>
      <c r="C426" s="44" t="s">
        <v>31</v>
      </c>
      <c r="D426" s="59" t="str">
        <f>IF(OR(D413=0,D417="　"),"",IF(D424=D425,"OK","CHECK"))</f>
        <v>OK</v>
      </c>
      <c r="F426" s="24">
        <v>14</v>
      </c>
      <c r="G426" s="17" t="str">
        <f>IF(OR(D413=0,D417="　"),"","結束バンド")</f>
        <v>結束バンド</v>
      </c>
      <c r="H426" s="29" t="str">
        <f>IF(OR(D413=0,D417="　"),"","66ナイロン")</f>
        <v>66ナイロン</v>
      </c>
      <c r="I426" s="58" t="str">
        <f>IF(OR(D413=0,D417="　"),"","n=スペーサ数×2")</f>
        <v>n=スペーサ数×2</v>
      </c>
      <c r="J426" s="16" t="str">
        <f>IF(OR(D413=0,D417="　"),"","本")</f>
        <v>本</v>
      </c>
      <c r="K426" s="38">
        <f>IF(OR(D413=0,D417="　"),"",2*K424)</f>
        <v>14</v>
      </c>
      <c r="L426" s="67">
        <f>IFERROR(D416*K426,"")</f>
        <v>140</v>
      </c>
    </row>
    <row r="427" spans="2:12" ht="11.1" customHeight="1">
      <c r="B427" s="45" t="s">
        <v>12</v>
      </c>
      <c r="C427" s="9" t="s">
        <v>10</v>
      </c>
      <c r="D427" s="60">
        <f>IF(OR(D413=0,D417="　"),"──",SUM(D421:D422))</f>
        <v>9</v>
      </c>
      <c r="F427" s="24">
        <v>15</v>
      </c>
      <c r="G427" s="17" t="str">
        <f>IF(OR(D413=0,D417="　"),"","結束テープ")</f>
        <v>結束テープ</v>
      </c>
      <c r="H427" s="29" t="str">
        <f>IF(OR(D413=0,D417="　"),"","フィラメントテープ")</f>
        <v>フィラメントテープ</v>
      </c>
      <c r="I427" s="58" t="str">
        <f>IF(OR(D413=0,D417="　"),"","L=(自由長+緊張部長)÷@1.0m×テープ係数"&amp;IF(MID(D417,4,1)="5",_xlfn.IFS(1*MID(LEFT(D417, LEN(D417)-1),6,2)&lt;4,"0.8",1*MID(LEFT(D417, LEN(D417)-1),6,2)&lt;7,"1.0",1*MID(LEFT(D417, LEN(D417)-1),6,2)&lt;10,"1.2",1*MID(LEFT(D417, LEN(D417)-1),6,2)&lt;13,"1.4"),_xlfn.IFS(1*MID(LEFT(D417, LEN(D417)-1),6,2)&lt;4,"1.0",1*MID(LEFT(D417, LEN(D417)-1),6,2)&lt;7,"1.2",1*MID(LEFT(D417, LEN(D417)-1),6,2)&lt;10,"1.4",1*MID(LEFT(D417, LEN(D417)-1),6,2)&lt;15,"1.8")))</f>
        <v>L=(自由長+緊張部長)÷@1.0m×テープ係数0.8</v>
      </c>
      <c r="J427" s="16" t="str">
        <f>IF(OR(D413=0,D417="　"),"","m")</f>
        <v>m</v>
      </c>
      <c r="K427" s="42" cm="1">
        <f t="array" ref="K427">IF(OR(D413=0,D417="　"),"",MROUND((SUM(D427,D428))/1*IF(MID(D417,4,1)="5",_xlfn.SWITCH(1*MID(D417,6,FIND("H",D417,6)-6),1,0.8,2,0.8,3,0.8,4,1,5,1,6,1,7,1.2,8,1.2,9,1.2,10,1.4,11,1.4,12,1.4),_xlfn.SWITCH(1*MID(D417,6,FIND("H",D417,6)-6),1,1,2,1,3,1,4,1.2,5,1.2,6,1.2,7,1.4,8,1.4,9,1.4,10,1.8,11,1.8,12,1.8,13,1.8,14,1.8,15,2.5,16,2.5,17,2.5,18,2.5,19,2.5)),0.1))</f>
        <v>8</v>
      </c>
      <c r="L427" s="69">
        <f>IFERROR(D416*K427,"")</f>
        <v>80</v>
      </c>
    </row>
    <row r="428" spans="2:12" ht="11.1" customHeight="1">
      <c r="B428" s="47" t="s">
        <v>13</v>
      </c>
      <c r="C428" s="10" t="s">
        <v>10</v>
      </c>
      <c r="D428" s="61" cm="1">
        <f t="array" ref="D428">IF(OR(D413=0,D417="　"),"──",IF(MID(D417,4,1)="5",_xlfn.IFS(1*MID(LEFT(D417,LEN(D417)-1),6,2)&lt;8,1,1*MID(LEFT(D417,LEN(D417)-1),6,2)&lt;13,1.2),_xlfn.IFS(1*MID(LEFT(D417,LEN(D417)-1),6,2)&lt;6,1,1*MID(LEFT(D417,LEN(D417)-1),6,2)&lt;15,1.2)))</f>
        <v>1</v>
      </c>
      <c r="F428" s="24">
        <v>16</v>
      </c>
      <c r="G428" s="17" t="str">
        <f>IF(OR(D413=0,D417="　",1*MID(D420,1,2)=1,1*MID(D420,1,2)=5),"","注入ホース")</f>
        <v>注入ホース</v>
      </c>
      <c r="H428" s="29" t="str">
        <f>IF(OR(D413=0,D417="　",1*MID(D420,1,2)=1,1*MID(D420,1,2)=5),"","φ16/20、高密度ポリエチレン")</f>
        <v>φ16/20、高密度ポリエチレン</v>
      </c>
      <c r="I428" s="46" t="str">
        <f>IF(OR(D413=0,D417="　",1*MID(D420,1,2)=1,1*MID(D420,1,2)=5),"","L=テンドン長")</f>
        <v>L=テンドン長</v>
      </c>
      <c r="J428" s="16" t="str">
        <f>IF(OR(D413=0,D417="　",1*MID(D420,1,2)=1,1*MID(D420,1,2)=5),"","m")</f>
        <v>m</v>
      </c>
      <c r="K428" s="30">
        <f>IF(OR(D413=0,D417="　",1*MID(D420,1,2)=1,1*MID(D420,1,2)=5),"",MROUND(D430,0.1))</f>
        <v>17.2</v>
      </c>
      <c r="L428" s="67">
        <f>IFERROR(D416*K428,"")</f>
        <v>172</v>
      </c>
    </row>
    <row r="429" spans="2:12" ht="11.1" customHeight="1">
      <c r="B429" s="48" t="s">
        <v>19</v>
      </c>
      <c r="C429" s="10" t="s">
        <v>14</v>
      </c>
      <c r="D429" s="62">
        <f>IF(OR(D413=0,D417="　"),"──",0.2)</f>
        <v>0.2</v>
      </c>
      <c r="F429" s="24">
        <v>17</v>
      </c>
      <c r="G429" s="17" t="str" cm="1">
        <f t="array" ref="G429">_xlfn.IFS(OR(D413=0,D417="　",MID(D419,1,2)="なし",MID(D419,1,3)="受圧体",1*MID(D420,1,2)=1,1*MID(D420,1,2)&gt;=5),"",MID(D419,1,3)="のり面","のり面角度台座",MID(D419,1,3)="構造物","構造物壁面台座",MID(D419,1,3)="土留め","土留め台座",MID(D419,1,3)="個別台","個別台座")</f>
        <v>のり面角度台座</v>
      </c>
      <c r="H429" s="46" t="str" cm="1">
        <f t="array" ref="H429">IF(OR(D413=0,D417="　",G429=""),"",_xlfn.IFS(MID(D419,1,3)="のり面",IF(1*MID(D417,4,1)=5,_xlfn.IFS(1*MID(D417,6,FIND("H",D417,6)-6)&lt;5,"ST140",1*MID(D417,6,FIND("H",D417,6)-6)&lt;8,"ST170",1*MID(D417,6,FIND("H",D417,6)-6)&lt;13,"ST220"),_xlfn.IFS(1*MID(D417,6,FIND("H",D417,6)-6)&lt;4,"ST140",1*MID(D417,6,FIND("H",D417,6)-6)&lt;5,"ST170",1*MID(D417,6,FIND("H",D417,6)-6)&lt;8,"ST220",1*MID(D417,6,FIND("H",D417,6)-6)&lt;20,"非該当"))&amp;"、FCD450相当",OR(MID(D419,1,3)="構造物",MID(D419,1,3)="土留め",MID(D419,1,3)="個別台"),D417&amp;"用"&amp;_xlfn.IFS(MID(D419,1,3)="構造物","",MID(D419,1,3)="土留め",IF(1*MID(D417,4,1)=5,_xlfn.SWITCH(1*MID(D417,6,FIND("H",D417,6)-6),1,"DA110",2,"DA220",3,"DA330",4,"DA440",5,"DA550",6,"DA660",7,"DA770",8,"DA880",9,"DA990",10,"DA1100",11,"DA1210",12,"DA1320"),_xlfn.SWITCH(1*MID(D417,6,FIND("H",D417,6)-6),1,"DA220",2,"DA330",3,"DA550",4,"DA660",5,"DA880",6,"DA990",7,"DA1100",8,"DA1320",9,"DA1410",10,"DA1570",11,"DA1730",12,"DA1880",13,"DA2040",14,"DA2200")),MID(D419,1,3)="個別台",D432)))&amp;IF(OR(D413=0,D417="　",G429=""),"","、"&amp;_xlfn.IFS(MID(D415,1,3)="防食Ⅱ","HDZT77めっき",MID(D415,5,2)="塩害","ｱﾙﾐﾅｲｽﾞ処理",MID(D415,5,2)="酸性","重防食処理"))</f>
        <v>ST140、FCD450相当、HDZT77めっき</v>
      </c>
      <c r="I429" s="52" t="str">
        <f>IF(OR(D413=0,D417="　",G429=""),"","n=1")</f>
        <v>n=1</v>
      </c>
      <c r="J429" s="16" t="str">
        <f>IF(OR(D413=0,D417="　",G429=""),"","台")</f>
        <v>台</v>
      </c>
      <c r="K429" s="32">
        <f>IF(OR(D413=0,D417="　",G429=""),"",1)</f>
        <v>1</v>
      </c>
      <c r="L429" s="68">
        <f>IFERROR(D416*K429,"")</f>
        <v>10</v>
      </c>
    </row>
    <row r="430" spans="2:12" ht="11.1" customHeight="1">
      <c r="B430" s="50" t="s">
        <v>20</v>
      </c>
      <c r="C430" s="10" t="s">
        <v>10</v>
      </c>
      <c r="D430" s="63">
        <f>IF(OR(D413=0,D417="　"),"──",SUM(D423,D427:D429))</f>
        <v>17.2</v>
      </c>
      <c r="F430" s="24">
        <v>18</v>
      </c>
      <c r="G430" s="17" t="str">
        <f>IF(OR(D413=0,D417="　",MID(D419,1,3)&lt;&gt;"のり面",1*MID(D420,1,2)=1,1*MID(D420,1,2)&gt;=5),"","補剛板")</f>
        <v>補剛板</v>
      </c>
      <c r="H430" s="46" t="str" cm="1">
        <f t="array" ref="H430">IF(OR(D413=0,D417="　",G430=""),"",IF(MID(D417,4,1)="5","□"&amp;_xlfn.SWITCH(1*MID(D417,6,FIND("H",D417,6)-6),1,"210φ131t12",2,"210φ131t12",3,"240φ131t12",4,"270φ131t12",5,"280φ143t12",6,"310φ143t16",7,"350φ143t19",8,"350φ180t19",9,"350φ180t19",10,"350φ180t19",11,"350φ180t22",12,"350φ180t22"),"□"&amp;_xlfn.SWITCH(1*MID(D417,6,FIND("H",D417,6)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413=0,D417="　",G430=""),"","、"&amp;_xlfn.IFS(MID(D415,1,3)="防食Ⅱ","HDZT77めっき",MID(D415,5,2)="塩害","ｱﾙﾐﾅｲｽﾞ処理",MID(D415,5,2)="酸性","重防食処理"))</f>
        <v>□240φ131t12、SS400相当、HDZT77めっき</v>
      </c>
      <c r="I430" s="52" t="str">
        <f>IF(OR(D413=0,D417="　",G430=""),"","n=1")</f>
        <v>n=1</v>
      </c>
      <c r="J430" s="16" t="str">
        <f>IF(OR(D413=0,D417="　",G430=""),"","枚")</f>
        <v>枚</v>
      </c>
      <c r="K430" s="32">
        <f>IF(OR(D413=0,D417="　",G430=""),"",1)</f>
        <v>1</v>
      </c>
      <c r="L430" s="68">
        <f>IFERROR(D416*K430,"")</f>
        <v>10</v>
      </c>
    </row>
    <row r="431" spans="2:12" ht="11.1" customHeight="1">
      <c r="B431" s="51" t="s">
        <v>15</v>
      </c>
      <c r="C431" s="12" t="s">
        <v>10</v>
      </c>
      <c r="D431" s="64">
        <f>IF(OR(D413=0,D417="　"),"──",0.25)</f>
        <v>0.25</v>
      </c>
      <c r="F431" s="24">
        <v>19</v>
      </c>
      <c r="G431" s="17" t="str" cm="1">
        <f t="array" ref="G431">_xlfn.IFS(OR(D413=0,D417="　",MID(D418,1,3)="ｱﾙﾐ",1*MID(D420,1,2)=1,1*MID(D420,1,2)&gt;=5),"",MID(D418,1,3)&lt;&gt;"ｱﾙﾐ","テンドン補修用塗料")</f>
        <v>テンドン補修用塗料</v>
      </c>
      <c r="H431" s="38" t="str" cm="1">
        <f t="array" ref="H431">_xlfn.IFS(OR(D413=0,D417="　",MID(D418,1,3)="ｱﾙﾐ",1*MID(D420,1,2)=1,1*MID(D420,1,2)&gt;=5),"",MID(D418,1,3)&lt;&gt;"ｱﾙﾐ","エポキシ樹脂")</f>
        <v>エポキシ樹脂</v>
      </c>
      <c r="I431" s="52" t="str" cm="1">
        <f t="array" ref="I431">_xlfn.IFS(OR(D413=0,D417="　",MID(D418,1,3)="ｱﾙﾐ",1*MID(D420,1,2)=1,1*MID(D420,1,2)&gt;=5),"",MID(D418,1,3)&lt;&gt;"ｱﾙﾐ","W=PC鋼より線本数×"&amp;IF(MID(D417,4,1)="5","0.28","0.4"))</f>
        <v>W=PC鋼より線本数×0.28</v>
      </c>
      <c r="J431" s="16" t="str" cm="1">
        <f t="array" ref="J431">_xlfn.IFS(OR(D413=0,D417="　",MID(D418,1,3)="ｱﾙﾐ",1*MID(D420,1,2)=1,1*MID(D420,1,2)&gt;=5),"",MID(D418,1,3)&lt;&gt;"ｱﾙﾐ","g")</f>
        <v>g</v>
      </c>
      <c r="K431" s="77" cm="1">
        <f t="array" ref="K431">_xlfn.IFS(OR(D413=0,D417="　",MID(D418,1,3)="ｱﾙﾐ",1*MID(D420,1,2)=1,1*MID(D420,1,2)&gt;=5),"",MID(D418,1,3)&lt;&gt;"ｱﾙﾐ",MID(D417,6,FIND("H",D417,6)-6)*IF(MID(D417,4,1)="5",0.28,0.4))</f>
        <v>0.84000000000000008</v>
      </c>
      <c r="L431" s="78">
        <f>IFERROR(D416*K431,"")</f>
        <v>8.4</v>
      </c>
    </row>
    <row r="432" spans="2:12" ht="11.1" customHeight="1">
      <c r="B432" s="65" t="s">
        <v>32</v>
      </c>
      <c r="C432" s="3" t="s">
        <v>33</v>
      </c>
      <c r="D432" s="76"/>
      <c r="F432" s="24">
        <v>20</v>
      </c>
      <c r="G432" s="17" t="str" cm="1">
        <f t="array" ref="G432">_xlfn.IFS(OR(D413=0,D417="　",MID(D418,1,3)="ｱﾙﾐ",1*MID(D420,1,2)=1,1*MID(D420,1,2)&gt;=5),"",MID(D418,1,3)&lt;&gt;"ｱﾙﾐ","長期防錆スプレー")</f>
        <v>長期防錆スプレー</v>
      </c>
      <c r="H432" s="38" t="str" cm="1">
        <f t="array" ref="H432">_xlfn.IFS(OR(D413=0,D417="　",MID(D418,1,3)="ｱﾙﾐ",1*MID(D420,1,2)=1,1*MID(D420,1,2)&gt;=5),"",MID(D418,1,3)&lt;&gt;"ｱﾙﾐ","防錆オイル")</f>
        <v>防錆オイル</v>
      </c>
      <c r="I432" s="52" t="str" cm="1">
        <f t="array" ref="I432">_xlfn.IFS(OR(D413=0,D417="　",MID(D418,1,3)="ｱﾙﾐ",1*MID(D420,1,2)=1,1*MID(D420,1,2)&gt;=5),"",MID(D418,1,3)&lt;&gt;"ｱﾙﾐ","n=0.01×(PC鋼より線本数+"&amp;IF(MID(D417,4,1)="5","6","12")&amp;")")</f>
        <v>n=0.01×(PC鋼より線本数+6)</v>
      </c>
      <c r="J432" s="16" t="str" cm="1">
        <f t="array" ref="J432">_xlfn.IFS(OR(D413=0,D417="　",MID(D418,1,3)="ｱﾙﾐ",1*MID(D420,1,2)=1,1*MID(D420,1,2)&gt;=5),"",MID(D418,1,3)&lt;&gt;"ｱﾙﾐ","缶")</f>
        <v>缶</v>
      </c>
      <c r="K432" s="77" cm="1">
        <f t="array" ref="K432">_xlfn.IFS(OR(D413=0,D417="　",MID(D418,1,3)="ｱﾙﾐ",1*MID(D420,1,2)=1,1*MID(D420,1,2)&gt;=5),"",MID(D418,1,3)&lt;&gt;"ｱﾙﾐ",0.01*(IF(MID(D417,4,1)="5",6,12)+MID(LEFT(D417,LEN(D417)-1),6,2)))</f>
        <v>0.09</v>
      </c>
      <c r="L432" s="78">
        <f>IFERROR(D416*K432,"")</f>
        <v>0.89999999999999991</v>
      </c>
    </row>
    <row r="433" spans="2:12" ht="11.1" customHeight="1">
      <c r="F433" s="24">
        <v>21</v>
      </c>
      <c r="G433" s="17" t="str">
        <f>IF(OR(D413=0,D417="　",1*MID(D420,1,2)&lt;=1,1*MID(D420,1,2)=3,,1*MID(D420,1,2)=6),"","ﾌﾘｰﾊﾟｯｶｰ注入ﾎｰｽ")</f>
        <v/>
      </c>
      <c r="H433" s="29" t="str">
        <f>IF(OR(D413=0,D417="　",1*MID(D420,1,2)&lt;=1,1*MID(D420,1,2)=3,,1*MID(D420,1,2)=6),"","φ16/20、ポリエチレン")</f>
        <v/>
      </c>
      <c r="I433" s="29" t="str">
        <f>IF(OR(D413=0,D417="　",1*MID(D420,1,2)&lt;=1,1*MID(D420,1,2)=3,,1*MID(D420,1,2)=6),"","L=自由長+緊張部長")</f>
        <v/>
      </c>
      <c r="J433" s="16" t="str">
        <f>IF(OR(D413=0,D417="　",1*MID(D420,1,2)&lt;=1,1*MID(D420,1,2)=3,,1*MID(D420,1,2)=6),"","m")</f>
        <v/>
      </c>
      <c r="K433" s="30" t="str">
        <f>IF(OR(D413=0,D417="　",1*MID(D420,1,2)&lt;=1,1*MID(D420,1,2)=3,,1*MID(D420,1,2)=6),"",D427+D428)</f>
        <v/>
      </c>
      <c r="L433" s="67" t="str">
        <f>IFERROR(D416*K433,"")</f>
        <v/>
      </c>
    </row>
    <row r="434" spans="2:12" ht="11.1" customHeight="1">
      <c r="F434" s="24">
        <v>22</v>
      </c>
      <c r="G434" s="17" t="str">
        <f>IF(OR(D413=0,D417="　",1*MID(D420,1,2)&lt;=1,1*MID(D420,1,2)=3,,1*MID(D420,1,2)=6),"","フリーパッカー")</f>
        <v/>
      </c>
      <c r="H434" s="52" t="str" cm="1">
        <f t="array" ref="H434">IF(OR(D413=0,D417="　",1*MID(D420,1,2)&lt;=1,1*MID(D420,1,2)=3,1*MID(D420,1,2)=6),"",_xlfn.SWITCH(D424,90,"PA-170",115,"PA-200",135,"PA-240",146,"PA-290",165,"PA-350",216,"PA-420")&amp;"、織布")</f>
        <v/>
      </c>
      <c r="I434" s="52" t="str">
        <f>IF(OR(D413=0,D417="　",1*MID(D420,1,2)&lt;=1,1*MID(D420,1,2)=3,1*MID(D420,1,2)=6),"","L=自由長+0.5")</f>
        <v/>
      </c>
      <c r="J434" s="16" t="str">
        <f>IF(OR(D413=0,D417="　",1*MID(D420,1,2)&lt;=1,1*MID(D420,1,2)=3,,1*MID(D420,1,2)=6),"","m")</f>
        <v/>
      </c>
      <c r="K434" s="30" t="str">
        <f>IF(OR(D413=0,D417="　",1*MID(D420,1,2)&lt;=1,1*MID(D420,1,2)=3,,1*MID(D420,1,2)=6),"",D427+0.5)</f>
        <v/>
      </c>
      <c r="L434" s="69" t="str">
        <f>IFERROR(D416*K434,"")</f>
        <v/>
      </c>
    </row>
    <row r="435" spans="2:12" ht="11.1" customHeight="1">
      <c r="F435" s="24">
        <v>23</v>
      </c>
      <c r="G435" s="17" t="str">
        <f>IF(OR(D413=0,D417="　",1*MID(D420,1,2)&lt;=1,1*MID(D420,1,2)=3,,1*MID(D420,1,2)=6),"","ﾌﾘｰﾊﾟｯｶｰ取付加工")</f>
        <v/>
      </c>
      <c r="H435" s="29" t="str">
        <f>IF(OR(D413=0,D417="　",1*MID(D420,1,2)&lt;=1,1*MID(D420,1,2)=3,,1*MID(D420,1,2)=6),"","材工")</f>
        <v/>
      </c>
      <c r="I435" s="29" t="str">
        <f>IF(OR(D413=0,D417="　",1*MID(D420,1,2)&lt;=1,1*MID(D420,1,2)=3,,1*MID(D420,1,2)=6),"","n=1")</f>
        <v/>
      </c>
      <c r="J435" s="16" t="str">
        <f>IF(OR(D413=0,D417="　",1*MID(D420,1,2)&lt;=1,1*MID(D420,1,2)=3,,1*MID(D420,1,2)=6),"","式")</f>
        <v/>
      </c>
      <c r="K435" s="32" t="str">
        <f>IF(OR(D413=0,D417="　",1*MID(D420,1,2)&lt;=1,1*MID(D420,1,2)=3,,1*MID(D420,1,2)=6),"",1)</f>
        <v/>
      </c>
      <c r="L435" s="70" t="str">
        <f>IFERROR(D416*K435,"")</f>
        <v/>
      </c>
    </row>
    <row r="436" spans="2:12" ht="11.1" customHeight="1">
      <c r="F436" s="24">
        <v>24</v>
      </c>
      <c r="G436" s="17" t="str">
        <f>IF(OR(D413=0,D417="　",1*MID(D420,1,2)&lt;=2,1*MID(D420,1,2)=5),"","フリクションパッカー")</f>
        <v/>
      </c>
      <c r="H436" s="38" t="str" cm="1">
        <f t="array" ref="H436">IF(OR(D413=0,D417="　",1*MID(D420,1,2)&lt;=2,1*MID(D420,1,2)=5),"",_xlfn.SWITCH(D424,90,"FP125",115,"FP125",135,"FP150",146,"FP175",165,"FP200",216,"FP235")&amp;"、パイレン布")</f>
        <v/>
      </c>
      <c r="I436" s="38" t="str">
        <f>IF(OR(D413=0,D417="　",1*MID(D420,1,2)&lt;=2,1*MID(D420,1,2)=5),"","L=アンカー体長+0.5")</f>
        <v/>
      </c>
      <c r="J436" s="16" t="str">
        <f>IF(OR(D413=0,D417="　",1*MID(D420,1,2)&lt;=2,1*MID(D420,1,2)=5),"","m")</f>
        <v/>
      </c>
      <c r="K436" s="30" t="str">
        <f>IF(OR(D413=0,D417="　",1*MID(D420,1,2)&lt;=2,1*MID(D420,1,2)=5),"",D423+0.5)</f>
        <v/>
      </c>
      <c r="L436" s="68" t="str">
        <f>IFERROR(D416*K436,"")</f>
        <v/>
      </c>
    </row>
    <row r="437" spans="2:12" ht="11.1" customHeight="1">
      <c r="F437" s="24">
        <v>25</v>
      </c>
      <c r="G437" s="17" t="str">
        <f>IF(OR(D413=0,D417="　",1*MID(D420,1,2)&lt;=2,1*MID(D420,1,2)=5),"","ﾌﾘｸｼｮﾝﾊﾟｯｶｰ取付加工")</f>
        <v/>
      </c>
      <c r="H437" s="29" t="str">
        <f>IF(OR(D413=0,D417="　",1*MID(D420,1,2)&lt;=2,1*MID(D420,1,2)=5),"","材工")</f>
        <v/>
      </c>
      <c r="I437" s="29" t="str">
        <f>IF(OR(D413=0,D417="　",1*MID(D420,1,2)&lt;=2,1*MID(D420,1,2)=5),"","n=1")</f>
        <v/>
      </c>
      <c r="J437" s="16" t="str">
        <f>IF(OR(D413=0,D417="　",1*MID(D420,1,2)&lt;=2,1*MID(D420,1,2)=5),"","式")</f>
        <v/>
      </c>
      <c r="K437" s="32" t="str">
        <f>IF(OR(D413=0,D417="　",1*MID(D420,1,2)&lt;=2,1*MID(D420,1,2)=5),"",1)</f>
        <v/>
      </c>
      <c r="L437" s="70" t="str">
        <f>IFERROR(D416*K437,"")</f>
        <v/>
      </c>
    </row>
    <row r="438" spans="2:12" ht="11.1" customHeight="1">
      <c r="F438" s="24">
        <v>26</v>
      </c>
      <c r="G438" s="17" t="str">
        <f>IF(OR(D413=0,D417="　",1*MID(D420,1,2)=0,1*MID(D420,1,2)=2,1*MID(D420,1,2)=3,1*MID(D420,1,2)=4),"","試験ﾊﾟｯｶｰ水注入ﾎｰｽ")</f>
        <v/>
      </c>
      <c r="H438" s="38" t="str">
        <f>IF(OR(D413=0,D417="　",1*MID(D420,1,2)=0,1*MID(D420,1,2)=2,1*MID(D420,1,2)=3,1*MID(D420,1,2)=4),"","φ4/6、ナイロン")</f>
        <v/>
      </c>
      <c r="I438" s="38" t="str">
        <f>IF(OR(D413=0,D417="　",1*MID(D420,1,2)=0,1*MID(D420,1,2)=2,1*MID(D420,1,2)=3,1*MID(D420,1,2)=4),"","L=自由長+緊張部長")</f>
        <v/>
      </c>
      <c r="J438" s="79" t="str">
        <f>IF(OR(D413=0,D417="　",1*MID(D420,1,2)=0,1*MID(D420,1,2)=2,1*MID(D420,1,2)=3,1*MID(D420,1,2)=4),"","m")</f>
        <v/>
      </c>
      <c r="K438" s="80" t="str">
        <f>IF(OR(D413=0,D417="　",1*MID(D420,1,2)=0,1*MID(D420,1,2)=2,1*MID(D420,1,2)=3,1*MID(D420,1,2)=4),"",D427+D428)</f>
        <v/>
      </c>
      <c r="L438" s="81" t="str">
        <f>IFERROR(D416*K438,"")</f>
        <v/>
      </c>
    </row>
    <row r="439" spans="2:12" ht="11.1" customHeight="1">
      <c r="F439" s="24">
        <v>27</v>
      </c>
      <c r="G439" s="17" t="str">
        <f>IF(OR(D413=0,D417="　",1*MID(D420,1,2)=0,1*MID(D420,1,2)=2,1*MID(D420,1,2)=3,1*MID(D420,1,2)=4),"","引抜試験パッカー")</f>
        <v/>
      </c>
      <c r="H439" s="38" t="str" cm="1">
        <f t="array" ref="H439">IF(OR(D413=0,D417="　",1*MID(D420,1,2)=0,1*MID(D420,1,2)=2,1*MID(D420,1,2)=3,1*MID(D420,1,2)=4),"",_xlfn.SWITCH(D424,90,"PU90",115,"PU115",135,"PU135",146,"PU146",165,"PU165")&amp;"、3層構造(鋼管･ゴム･布)")</f>
        <v/>
      </c>
      <c r="I439" s="38" t="str">
        <f>IF(OR(D413=0,D417="　",1*MID(D420,1,2)=0,1*MID(D420,1,2)=2,1*MID(D420,1,2)=3,1*MID(D420,1,2)=4),"","n=1")</f>
        <v/>
      </c>
      <c r="J439" s="79" t="str">
        <f>IF(OR(D413=0,D417="　",1*MID(D420,1,2)=0,1*MID(D420,1,2)=2,1*MID(D420,1,2)=3,1*MID(D420,1,2)=4),"","式")</f>
        <v/>
      </c>
      <c r="K439" s="32" t="str" cm="1">
        <f t="array" ref="K439">IF(OR(D413=0,D417="　",1*MID(D420,1,2)=0,1*MID(D420,1,2)=2,1*MID(D420,1,2)=3,1*MID(D420,1,2)=4),"",_xlfn.IFS(OR(1*MID(D420,1,2)=1,1*MID(D420,1,2)&gt;=5),1))</f>
        <v/>
      </c>
      <c r="L439" s="68" t="str">
        <f>IFERROR(D416*K439,"")</f>
        <v/>
      </c>
    </row>
    <row r="440" spans="2:12" ht="11.1" customHeight="1">
      <c r="F440" s="24">
        <v>28</v>
      </c>
      <c r="G440" s="17" t="str">
        <f>IF(OR(D413=0,D417="　",1*MID(D420,1,2)=0,1*MID(D420,1,2)=2,1*MID(D420,1,2)=3,1*MID(D420,1,2)=4),"","引抜試験パッカー取付加工")</f>
        <v/>
      </c>
      <c r="H440" s="38" t="str">
        <f>IF(OR(D413=0,D417="　",1*MID(D420,1,2)=0,1*MID(D420,1,2)=2,1*MID(D420,1,2)=3,1*MID(D420,1,2)=4),"","材工")</f>
        <v/>
      </c>
      <c r="I440" s="38" t="str">
        <f>IF(OR(D413=0,D417="　",1*MID(D420,1,2)=0,1*MID(D420,1,2)=2,1*MID(D420,1,2)=3,1*MID(D420,1,2)=4),"","n=1")</f>
        <v/>
      </c>
      <c r="J440" s="79" t="str" cm="1">
        <f t="array" ref="J440">IF(OR(D413=0,D417="　",1*MID(D420,1,2)=0,1*MID(D420,1,2)=2,1*MID(D420,1,2)=3,1*MID(D420,1,2)=4),"",_xlfn.IFS(OR(1*MID(D420,1,2)=1,1*MID(D420,1,2)&gt;=5),"式"))</f>
        <v/>
      </c>
      <c r="K440" s="32" t="str" cm="1">
        <f t="array" ref="K440">IF(OR(D413=0,D417="　",1*MID(D420,1,2)=0,1*MID(D420,1,2)=2,1*MID(D420,1,2)=3,1*MID(D420,1,2)=4),"",_xlfn.IFS(OR(1*MID(D420,1,2)=1,1*MID(D420,1,2)&gt;=5),1))</f>
        <v/>
      </c>
      <c r="L440" s="68" t="str">
        <f>IFERROR(D416*K440,"")</f>
        <v/>
      </c>
    </row>
    <row r="441" spans="2:12" ht="11.1" customHeight="1">
      <c r="F441" s="24">
        <v>29</v>
      </c>
      <c r="G441" s="17" t="str">
        <f>IF(OR(D413=0,D417="　",1*MID(D420,1,2)=0,1*MID(D420,1,2)=2,1*MID(D420,1,2)=3,1*MID(D420,1,2)=4),"","自由長洗浄ﾎｰｽ")</f>
        <v/>
      </c>
      <c r="H441" s="38" t="str">
        <f>IF(OR(D413=0,D417="　",1*MID(D420,1,2)=0,1*MID(D420,1,2)=2,1*MID(D420,1,2)=3,1*MID(D420,1,2)=4),"","φ16/20、ポリエチレン")</f>
        <v/>
      </c>
      <c r="I441" s="38" t="str">
        <f>IF(OR(D413=0,D417="　",1*MID(D420,1,2)=0,1*MID(D420,1,2)=2,1*MID(D420,1,2)=3,1*MID(D420,1,2)=4),"","L=自由長+0.5")</f>
        <v/>
      </c>
      <c r="J441" s="79" t="str">
        <f>IF(OR(D413=0,D417="　",1*MID(D420,1,2)=0,1*MID(D420,1,2)=2,1*MID(D420,1,2)=3,1*MID(D420,1,2)=4),"","m")</f>
        <v/>
      </c>
      <c r="K441" s="32" t="str">
        <f>IF(OR(D413=0,D417="　",1*MID(D420,1,2)=0,1*MID(D420,1,2)=2,1*MID(D420,1,2)=3,1*MID(D420,1,2)=4),"",D427+0.5)</f>
        <v/>
      </c>
      <c r="L441" s="81" t="str">
        <f>IFERROR(D416*K441,"")</f>
        <v/>
      </c>
    </row>
    <row r="442" spans="2:12" ht="11.1" customHeight="1">
      <c r="D442" s="1" t="s">
        <v>9</v>
      </c>
      <c r="F442" s="56">
        <v>30</v>
      </c>
      <c r="G442" s="82" t="str">
        <f>IF(OR(D413=0,D417="　",1*MID(D420,1,2)&lt;=2,1*MID(D420,1,2)=5,MID(D442,6,2)&lt;&gt;"あり"),"","確認ホース")</f>
        <v/>
      </c>
      <c r="H442" s="83" t="str">
        <f>IF(OR(D413=0,D417="　",1*MID(D420,1,2)&lt;=2,1*MID(D420,1,2)=5,MID(D442,6,2)&lt;&gt;"あり"),"","φ17、ポリエチレン")</f>
        <v/>
      </c>
      <c r="I442" s="83"/>
      <c r="J442" s="84" t="str">
        <f>IF(OR(D413=0,D417="　",1*MID(D420,1,2)&lt;=2,1*MID(D420,1,2)=5,MID(D442,6,2)&lt;&gt;"あり"),"","m")</f>
        <v/>
      </c>
      <c r="K442" s="85" t="str">
        <f>IF(OR(D412=0,D417="　",1*MID(D420,1,2)&lt;=2,1*MID(D420,1,2)=5,MID(D442,6,2)&lt;&gt;"あり"),"",0.5+MROUND(D427+D429,0.1))</f>
        <v/>
      </c>
      <c r="L442" s="86" t="str">
        <f>IFERROR(D416*K442,"")</f>
        <v/>
      </c>
    </row>
    <row r="444" spans="2:12" ht="11.1" customHeight="1">
      <c r="B444" s="19" t="s">
        <v>1</v>
      </c>
      <c r="D444" s="4"/>
      <c r="G444" s="73" t="s">
        <v>39</v>
      </c>
    </row>
    <row r="445" spans="2:12" ht="11.1" customHeight="1">
      <c r="G445" s="99">
        <f>D446</f>
        <v>14</v>
      </c>
      <c r="H445" s="55" t="str">
        <f>IF(D447=0,"",D448&amp;" "&amp;D451&amp; "："&amp;TEXT(D464,"L=##0.00")&amp;"m"&amp;TEXT(D462,",L1=##0.00")&amp;"m"&amp;TEXT(D461,",Lf=##0.00")&amp;"m"&amp;TEXT(D457,",LA=##0.00")&amp;"m"&amp;TEXT(D463,",L2=##0.00")&amp;"m")</f>
        <v>(14)1段/2段 EHD5-3H：L=17.20m,L1=1.00m,Lf=9.00m,LA=7.00m,L2=0.20m</v>
      </c>
      <c r="I445" s="55"/>
      <c r="J445" s="18"/>
    </row>
    <row r="446" spans="2:12" ht="11.1" customHeight="1">
      <c r="B446" s="13" t="s">
        <v>2</v>
      </c>
      <c r="C446" s="3" t="s">
        <v>3</v>
      </c>
      <c r="D446" s="98">
        <f>1+(ROW()-ROW($D$4))/34</f>
        <v>14</v>
      </c>
      <c r="F446" s="20"/>
      <c r="G446" s="21" t="s">
        <v>21</v>
      </c>
      <c r="H446" s="22" t="s">
        <v>22</v>
      </c>
      <c r="I446" s="22" t="s">
        <v>38</v>
      </c>
      <c r="J446" s="23" t="s">
        <v>23</v>
      </c>
      <c r="K446" s="22" t="s">
        <v>24</v>
      </c>
      <c r="L446" s="3" t="s">
        <v>4</v>
      </c>
    </row>
    <row r="447" spans="2:12" ht="11.1" customHeight="1">
      <c r="B447" s="28" t="s">
        <v>25</v>
      </c>
      <c r="C447" s="5" t="s">
        <v>26</v>
      </c>
      <c r="D447" s="6">
        <v>1</v>
      </c>
      <c r="F447" s="24">
        <v>1</v>
      </c>
      <c r="G447" s="25" t="str">
        <f>IF(OR(D447=0,D451="　"),"","硅砂付着ECFﾃﾝﾄﾞﾝ")</f>
        <v>硅砂付着ECFﾃﾝﾄﾞﾝ</v>
      </c>
      <c r="H447" s="26" t="str">
        <f>IF(OR(D447=0,D451="　"),"",D451&amp;" ("&amp;MID(D451,6,FIND("H",D451,6)-6)&amp;IF(MID(D451,4,1)="5","φ12.7","φ15.2")&amp;")")</f>
        <v>EHD5-3H (3φ12.7)</v>
      </c>
      <c r="I447" s="57" t="str">
        <f>IF(OR(D447=0,D451="　"),"","W=テンドン長×PC鋼より線本数×"&amp;IF(MID(D451,4,1)="5","0.774","1.101")&amp;"kg/m")</f>
        <v>W=テンドン長×PC鋼より線本数×0.774kg/m</v>
      </c>
      <c r="J447" s="14" t="str">
        <f>IF(OR(D447=0,D451="　"),"","kg")</f>
        <v>kg</v>
      </c>
      <c r="K447" s="27">
        <f>IF(OR(D447=0,D451="　"),"",MROUND(D464*MID(D451,6,FIND("H",D451,6)-6)*IF(MID(D451,4,1)="5","0.774","1.101"),0.01))</f>
        <v>39.94</v>
      </c>
      <c r="L447" s="15">
        <f>IFERROR(D450*K447,"")</f>
        <v>399.4</v>
      </c>
    </row>
    <row r="448" spans="2:12" ht="11.1" customHeight="1">
      <c r="B448" s="31" t="s">
        <v>45</v>
      </c>
      <c r="C448" s="71" t="s">
        <v>6</v>
      </c>
      <c r="D448" s="74" t="s">
        <v>100</v>
      </c>
      <c r="F448" s="24">
        <v>2</v>
      </c>
      <c r="G448" s="17" t="str">
        <f>IF(OR(D447=0,D451="　"),"","アンカー工場加工")</f>
        <v>アンカー工場加工</v>
      </c>
      <c r="H448" s="29"/>
      <c r="I448" s="46" t="str">
        <f>IF(OR(D447=0,D451="　"),"","L=テンドン長")</f>
        <v>L=テンドン長</v>
      </c>
      <c r="J448" s="16" t="str">
        <f>IF(OR(D447=0,D451="　"),"","m")</f>
        <v>m</v>
      </c>
      <c r="K448" s="30">
        <f>IF(OR(D447=0,D451="　"),"",MROUND(D464,0.1))</f>
        <v>17.2</v>
      </c>
      <c r="L448" s="67">
        <f>IFERROR(D450*K448,"")</f>
        <v>172</v>
      </c>
    </row>
    <row r="449" spans="2:12" ht="11.1" customHeight="1">
      <c r="B449" s="34" t="s">
        <v>7</v>
      </c>
      <c r="C449" s="49" t="s">
        <v>6</v>
      </c>
      <c r="D449" s="2" t="s">
        <v>34</v>
      </c>
      <c r="F449" s="24">
        <v>3</v>
      </c>
      <c r="G449" s="17" t="str">
        <f>IF(OR(D447=0,D451="　",1*MID(D454,1,2)=1,1*MID(D454,1,2)&gt;=5),"","頭部キャップ")</f>
        <v>頭部キャップ</v>
      </c>
      <c r="H449" s="29" t="str" cm="1">
        <f t="array" ref="H449">IF(OR(D447=0,D451="　",1*MID(D454,1,2)=1,1*MID(D454,1,2)&gt;=5),"",IF(MID(D451,4,1)="5",_xlfn.SWITCH(1*MID(D451,6,FIND("H",D451,6)-6),1,"S",2,"S",3,"S",4,"S",5,"M",6,"M",7,"M",8,"L",9,"L",10,"L",11,"L",12,"L"),_xlfn.SWITCH(1*MID(D451,6,FIND("H",D451,6)-6),1,"S",2,"S",3,"M",4,"M",5,"L",6,"L",7,"L",8,"LL",9,"LL",10,"LL",11,"LL",12,"LL",13,"LL",14,"LL",15,"3L",16,"3L",17,"3L",18,"3L",19,"3L"))&amp;"型"&amp;MID(D452,IF(MID(D452,1,1)="G",4,1),10)&amp;IF(OR(MID(D452,1,2)="透明",MID(D452,1,2)="5窓"),"、PC樹脂","")&amp;IF(MID(D452,4,2)="鋼製","、SS400相当、HDZT77めっき","、ｱﾙﾐAC4C相当"))&amp;_xlfn.IFS(OR(D447=0,D451="　",MID(D449,1,3)="防食Ⅱ"),"",MID(D449,5,2)="塩害","、ﾀｹｺｰﾄ処理",MID(D449,5,2)="酸性","、重防食処理")</f>
        <v>S型透明ｷｬｯﾌﾟ、PC樹脂、ｱﾙﾐAC4C相当</v>
      </c>
      <c r="I449" s="52" t="str">
        <f>IF(OR(D447=0,D451="　",1*MID(D454,1,2)=1,1*MID(D454,1,2)&gt;=5),"","n=1")</f>
        <v>n=1</v>
      </c>
      <c r="J449" s="16" t="str">
        <f>IF(OR(D447=0,D451="　",1*MID(D454,1,2)=1,1*MID(D454,1,2)&gt;=5),"","個")</f>
        <v>個</v>
      </c>
      <c r="K449" s="32">
        <f>IF(OR(D447=0,D451="　",1*MID(D454,1,2)=1,1*MID(D454,1,2)&gt;=5),"",1)</f>
        <v>1</v>
      </c>
      <c r="L449" s="68">
        <f>IFERROR(D450*K449,"")</f>
        <v>10</v>
      </c>
    </row>
    <row r="450" spans="2:12" ht="11.1" customHeight="1">
      <c r="B450" s="31" t="s">
        <v>27</v>
      </c>
      <c r="C450" s="10" t="s">
        <v>5</v>
      </c>
      <c r="D450" s="75">
        <v>10</v>
      </c>
      <c r="F450" s="24">
        <v>4</v>
      </c>
      <c r="G450" s="17" t="str">
        <f>IF(OR(D447=0,D451="　",1*MID(D454,1,2)=1,1*MID(D454,1,2)&gt;=5),"","アンカーヘッド")</f>
        <v>アンカーヘッド</v>
      </c>
      <c r="H450" s="29" t="str" cm="1">
        <f t="array" ref="H450">IF(OR(D447=0,D451="　",1*MID(D454,1,2)=1,1*MID(D454,1,2)&gt;=5),"",IF(MID(D451,4,1)="5","G5"&amp;_xlfn.SWITCH(1*MID(D451,6,FIND("H",D451,6)-6),1,"01",2,"02",3,"03",4,"04",5,"07",6,"07",7,"07",8,"09",9,"09",10,"12",11,"12",12,"12"),"G6"&amp;_xlfn.SWITCH(1*MID(D451,6,FIND("H",D451,6)-6),1,"01",2,"02",3,"03",4,"04",5,"07",6,"07",7,"07",8,"09",9,"09",10,"12",11,"12",12,"12",13,"14",14,"14",15,"19",16,"19",17,"19",18,"19",19,"19"))&amp;"、S45C相当")&amp;IF(OR(D447=0,D451="　",MID(D452,1,3)="ｱﾙﾐ",1*MID(D454,1,2)=1,1*MID(D454,1,2)&gt;=5),"","、無電解Niめっき")</f>
        <v>G503、S45C相当、無電解Niめっき</v>
      </c>
      <c r="I450" s="52" t="str">
        <f>IF(OR(D447=0,D451="　",1*MID(D454,1,2)=1,1*MID(D454,1,2)&gt;=5),"","n=1")</f>
        <v>n=1</v>
      </c>
      <c r="J450" s="16" t="str">
        <f>IF(OR(D447=0,D451="　",1*MID(D454,1,2)=1,1*MID(D454,1,2)&gt;=5),"","個")</f>
        <v>個</v>
      </c>
      <c r="K450" s="32">
        <f>IF(OR(D447=0,D451="　",1*MID(D454,1,2)=1,1*MID(D454,1,2)&gt;=5),"",1)</f>
        <v>1</v>
      </c>
      <c r="L450" s="68">
        <f>IFERROR(D450*K450,"")</f>
        <v>10</v>
      </c>
    </row>
    <row r="451" spans="2:12" ht="11.1" customHeight="1">
      <c r="B451" s="33" t="s">
        <v>28</v>
      </c>
      <c r="C451" s="71" t="s">
        <v>6</v>
      </c>
      <c r="D451" s="7" t="s">
        <v>0</v>
      </c>
      <c r="F451" s="24">
        <v>5</v>
      </c>
      <c r="G451" s="17" t="str">
        <f>IF(OR(D447=0,D451="　",1*MID(D454,1,2)=1,1*MID(D454,1,2)&gt;=5),"","ナット")</f>
        <v>ナット</v>
      </c>
      <c r="H451" s="29" t="str" cm="1">
        <f t="array" ref="H451">IF(OR(D447=0,D451="　",1*MID(D454,1,2)=1,1*MID(D454,1,2)&gt;=5),"",IF(MID(D451,4,1)="5","G5"&amp;_xlfn.SWITCH(1*MID(D451,6,FIND("H",D451,6)-6),1,"01",2,"02",3,"03",4,"04",5,"07",6,"07",7,"07",8,"09",9,"09",10,"12",11,"12",12,"12"),"G6"&amp;_xlfn.SWITCH(1*MID(D451,6,FIND("H",D451,6)-6),1,"01",2,"02",3,"03",4,"04",5,"07",6,"07",7,"07",8,"09",9,"09",10,"12",11,"12",12,"12",13,"14",14,"14",15,"19",16,"19",17,"19",18,"19",19,"19"))&amp;"、S45C相当")&amp;IF(OR(D447=0,D451="　",MID(D452,1,3)="ｱﾙﾐ",1*MID(D454,1,2)=1,1*MID(D454,1,2)&gt;=5),"","、無電解Niめっき")</f>
        <v>G503、S45C相当、無電解Niめっき</v>
      </c>
      <c r="I451" s="52" t="str">
        <f>IF(OR(D447=0,D451="　",1*MID(D454,1,2)=1,1*MID(D454,1,2)&gt;=5),"","n=1")</f>
        <v>n=1</v>
      </c>
      <c r="J451" s="16" t="str">
        <f>IF(OR(D447=0,D451="　",1*MID(D454,1,2)=1,1*MID(D454,1,2)&gt;=5),"","個")</f>
        <v>個</v>
      </c>
      <c r="K451" s="32">
        <f>IF(OR(D447=0,D451="　",1*MID(D454,1,2)=1,1*MID(D454,1,2)&gt;=5),"",1)</f>
        <v>1</v>
      </c>
      <c r="L451" s="68">
        <f>IFERROR(D450*K451,"")</f>
        <v>10</v>
      </c>
    </row>
    <row r="452" spans="2:12" ht="11.1" customHeight="1">
      <c r="B452" s="35" t="s">
        <v>29</v>
      </c>
      <c r="C452" s="49" t="s">
        <v>6</v>
      </c>
      <c r="D452" s="2" t="s">
        <v>35</v>
      </c>
      <c r="F452" s="24">
        <v>6</v>
      </c>
      <c r="G452" s="17" t="str">
        <f>IF(OR(D447=0,D451="　",1*MID(D454,1,2)=1,1*MID(D454,1,2)&gt;=5),"","くさび")</f>
        <v>くさび</v>
      </c>
      <c r="H452" s="29" t="str">
        <f>IF(OR(D447=0,D451="　",1*MID(D454,1,2)=1,1*MID(D454,1,2)&gt;=5),"",IF(1*MID(D451,4,1)=5,"ECF12.7","ECF15.2")&amp;"、SCM415相当")&amp;IF(OR(D447=0,D451="　",MID(D452,1,3)="ｱﾙﾐ",1*MID(D454,1,2)=1,1*MID(D454,1,2)&gt;=5),"","、無電解Niめっき")</f>
        <v>ECF12.7、SCM415相当、無電解Niめっき</v>
      </c>
      <c r="I452" s="52" t="str">
        <f>IF(OR(D447=0,D451="　",1*MID(D454,1,2)=1,1*MID(D454,1,2)&gt;=5),"","n=1")</f>
        <v>n=1</v>
      </c>
      <c r="J452" s="16" t="str">
        <f>IF(OR(D447=0,D451="　",1*MID(D454,1,2)=1,1*MID(D454,1,2)&gt;=5),"","式")</f>
        <v>式</v>
      </c>
      <c r="K452" s="32">
        <f>IF(OR(D447=0,D451="　",1*MID(D454,1,2)=1,1*MID(D454,1,2)&gt;=5),"",1)</f>
        <v>1</v>
      </c>
      <c r="L452" s="68">
        <f>IFERROR(D450*K452,"")</f>
        <v>10</v>
      </c>
    </row>
    <row r="453" spans="2:12" ht="11.1" customHeight="1">
      <c r="B453" s="35" t="s">
        <v>8</v>
      </c>
      <c r="C453" s="49" t="s">
        <v>6</v>
      </c>
      <c r="D453" s="2" t="s">
        <v>36</v>
      </c>
      <c r="F453" s="24">
        <v>7</v>
      </c>
      <c r="G453" s="17" t="str">
        <f>IF(OR(D447=0,D451="　",1*MID(D454,1,2)=1,1*MID(D454,1,2)&gt;=5),"","押え板")</f>
        <v>押え板</v>
      </c>
      <c r="H453" s="29" t="str" cm="1">
        <f t="array" ref="H453">IF(OR(D447=0,D451="　",1*MID(D454,1,2)=1,1*MID(D454,1,2)&gt;=5),"",IF(MID(D451,4,1)="5","G5"&amp;_xlfn.SWITCH(1*MID(D451,6,FIND("H",D451,6)-6),1,"01",2,"04",3,"03",4,"04",5,"07",6,"07",7,"07",8,"12",9,"12",10,"12",11,"12",12,"12"),"G6"&amp;_xlfn.SWITCH(1*MID(D451,6,FIND("H",D451,6)-6),1,"01",2,"02",3,"03",4,"04",5,"07",6,"07",7,"07",8,"12",9,"12",10,"12",11,"12",12,"12",13,"14",14,"14",15,"19",16,"19",17,"19",18,"19",19,"19"))&amp;"、SS400相当")&amp;IF(OR(D447=0,D451="　",1*MID(D454,1,2)=1,1*MID(D454,1,2)&gt;=5),"","、"&amp;_xlfn.IFS(MID(D449,1,3)="防食Ⅱ","HDZT77めっき",MID(D449,5,2)="塩害","ｱﾙﾐﾅｲｽﾞ処理",MID(D449,5,2)="酸性","重防食処理"))</f>
        <v>G503、SS400相当、HDZT77めっき</v>
      </c>
      <c r="I453" s="52" t="str">
        <f>IF(OR(D447=0,D451="　",1*MID(D454,1,2)=1,1*MID(D454,1,2)&gt;=5),"","n=1")</f>
        <v>n=1</v>
      </c>
      <c r="J453" s="16" t="str">
        <f>IF(OR(D447=0,D451="　",1*MID(D454,1,2)=1,1*MID(D454,1,2)&gt;=5),"","枚")</f>
        <v>枚</v>
      </c>
      <c r="K453" s="32">
        <f>IF(OR(D447=0,D451="　",1*MID(D454,1,2)=1,1*MID(D454,1,2)&gt;=5),"",1)</f>
        <v>1</v>
      </c>
      <c r="L453" s="68">
        <f>IFERROR(D450*K453,"")</f>
        <v>10</v>
      </c>
    </row>
    <row r="454" spans="2:12" ht="11.1" customHeight="1">
      <c r="B454" s="36" t="s">
        <v>87</v>
      </c>
      <c r="C454" s="72" t="s">
        <v>6</v>
      </c>
      <c r="D454" s="8" t="s">
        <v>42</v>
      </c>
      <c r="F454" s="24">
        <v>8</v>
      </c>
      <c r="G454" s="17" t="str">
        <f>IF(OR(D447=0,D451="　"),"",IF(OR(1*MID(D454,1,2)=1,1*MID(D454,1,2)&gt;=5,MID(D453,1,3)&lt;&gt;"のり面"),"","管付")&amp;"支圧板")</f>
        <v>管付支圧板</v>
      </c>
      <c r="H454" s="29" t="str" cm="1">
        <f t="array" ref="H454">IF(OR(D447=0,D451="　"),"","PL"&amp;IF(OR(1*MID(D454,1,2)=1,1*MID(D454,1,2)&gt;=5,MID(D453,1,3)&lt;&gt;"のり面"),"","P")&amp;IF(MID(D451,4,1)="5","5-"&amp;_xlfn.SWITCH(1*MID(D451,6,FIND("H",D451,6)-6),1,"1",2,"2",3,"3",4,"4",5,"5",6,"6",7,"7",8,"9",9,"9",10,"10",11,"11",12,"12"),"6-"&amp;_xlfn.SWITCH(1*MID(D451,6,FIND("H",D451,6)-6),1,"1",2,"2",3,"3",4,"4",5,"6",6,"6",7,"7",8,"8",9,"9",10,"10",11,"11",12,"12",13,"14",14,"14",15,"16",16,"16",17,"17",18,"18",19,"19"))&amp;"、SS400相当")&amp;IF(OR(D447=0,D451="　"),"","、"&amp;_xlfn.IFS(MID(D449,1,3)="防食Ⅱ","HDZT77めっき",MID(D449,5,2)="塩害","ｱﾙﾐﾅｲｽﾞ処理",MID(D449,5,2)="酸性","重防食処理"))</f>
        <v>PLP5-3、SS400相当、HDZT77めっき</v>
      </c>
      <c r="I454" s="52" t="str">
        <f>IF(OR(D447=0,D451="　"),"","n=1")</f>
        <v>n=1</v>
      </c>
      <c r="J454" s="16" t="str">
        <f>IF(OR(D447=0,D451="　"),"","枚")</f>
        <v>枚</v>
      </c>
      <c r="K454" s="32">
        <f>IF(OR(D447=0,D451="　"),"",1)</f>
        <v>1</v>
      </c>
      <c r="L454" s="68">
        <f>IFERROR(D450*K454,"")</f>
        <v>10</v>
      </c>
    </row>
    <row r="455" spans="2:12" ht="11.1" customHeight="1">
      <c r="B455" s="37" t="str" cm="1">
        <f t="array" ref="B455">"頭部自由長"&amp;_xlfn.IFS(MID(D453,1,2)="なし","",MID(D453,1,3)="受圧体","(受圧体)",MID(D453,1,3)="のり面","(角度台座＋受圧体)",MID(D453,1,3)="構造物","(壁面台座)",MID(D453,1,3)="土留め","(台座+腹起し)",MID(D453,1,3)="個別台","(個別台座+腹起し)")&amp;"　Lfh"</f>
        <v>頭部自由長(角度台座＋受圧体)　Lfh</v>
      </c>
      <c r="C455" s="9" t="s">
        <v>10</v>
      </c>
      <c r="D455" s="75">
        <v>0.5</v>
      </c>
      <c r="F455" s="24">
        <v>9</v>
      </c>
      <c r="G455" s="17" t="str">
        <f>IF(OR(D447=0,D451="　",1*MID(D454,1,2)=1,1*MID(D454,1,2)&gt;=5),"","止水ゴム")</f>
        <v>止水ゴム</v>
      </c>
      <c r="H455" s="29" t="str">
        <f>IF(OR(D447=0,D451="　",1*MID(D454,1,2)=1,1*MID(D454,1,2)&gt;=5),"","G"&amp;MID(D451,4,4)&amp;"、NBR45相当")</f>
        <v>G5-3H、NBR45相当</v>
      </c>
      <c r="I455" s="52" t="str">
        <f>IF(OR(D447=0,D451="　",1*MID(D454,1,2)=1,1*MID(D454,1,2)&gt;=5),"","n=1")</f>
        <v>n=1</v>
      </c>
      <c r="J455" s="16" t="str">
        <f>IF(OR(D447=0,D451="　",1*MID(D454,1,2)=1,1*MID(D454,1,2)&gt;=5),"","個")</f>
        <v>個</v>
      </c>
      <c r="K455" s="32">
        <f>IF(OR(D447=0,D451="　",1*MID(D454,1,2)=1,1*MID(D454,1,2)&gt;=5),"",1)</f>
        <v>1</v>
      </c>
      <c r="L455" s="68">
        <f>IFERROR(D450*K455,"")</f>
        <v>10</v>
      </c>
    </row>
    <row r="456" spans="2:12" ht="11.1" customHeight="1">
      <c r="B456" s="31" t="s">
        <v>11</v>
      </c>
      <c r="C456" s="10" t="s">
        <v>10</v>
      </c>
      <c r="D456" s="75">
        <v>8.5</v>
      </c>
      <c r="F456" s="24">
        <v>10</v>
      </c>
      <c r="G456" s="17" t="str" cm="1">
        <f t="array" ref="G456">IF(OR(D447=0,D451="　",1*MID(D454,1,2)=1,1*MID(D454,1,2)&gt;=5),"",_xlfn.IFS(MID(D452,1,3)="ｱﾙﾐ","頭部防錆油",MID(D452,1,3)&lt;&gt;"ｱﾙﾐ","余長キャップ"))</f>
        <v>余長キャップ</v>
      </c>
      <c r="H456" s="29" t="str" cm="1">
        <f t="array" ref="H456">_xlfn.IFS(OR(D447=0,D451="　",1*MID(D454,1,2)=1,1*MID(D454,1,2)&gt;=5),"",MID(D452,1,3)="ｱﾙﾐ","PCコートC",MID(D452,1,3)&lt;&gt;"ｱﾙﾐ","TC"&amp;MID(D451,4,1)&amp;"、高密度ポリエチレン")</f>
        <v>TC5、高密度ポリエチレン</v>
      </c>
      <c r="I456" s="52" t="str" cm="1">
        <f t="array" ref="I456">_xlfn.IFS(OR(D447=0,D451="　",1*MID(D454,1,2)=1,1*MID(D454,1,2)&gt;=5),"",MID(D452,1,3)="ｱﾙﾐ","W="&amp;IF(MID(D451,4,1)="5",_xlfn.SWITCH(1*MID(LEFT(D451, LEN(D451)-1),6,2),1,1.9,2,1.3,3,1.3,4,1.3,5,1.6,6,1.6,7,1.6,8,3.1,9,3.1,10,3.1,11,3.1,12,3.1),"G6"&amp;_xlfn.SWITCH(1*MID(LEFT(D451, LEN(D451)-1),6,2),1,1.8,2,1.3,3,1.8,4,1.8,5,3.3,6,3.3,7,3.3,8,9.9,9,9.9,10,9.9,11,9.9,12,9.9,13,9.9,14,9.9)),MID(D452,1,3)&lt;&gt;"ｱﾙﾐ","n=1")</f>
        <v>n=1</v>
      </c>
      <c r="J456" s="16" t="str" cm="1">
        <f t="array" ref="J456">_xlfn.IFS(OR(D447=0,D451="　",1*MID(D454,1,2)=1,1*MID(D454,1,2)&gt;=5),"",MID(D452,1,3)="ｱﾙﾐ","kg",MID(D452,1,3)&lt;&gt;"ｱﾙﾐ","式")</f>
        <v>式</v>
      </c>
      <c r="K456" s="80" cm="1">
        <f t="array" ref="K456">_xlfn.IFS(OR(D447=0,D451="　",1*MID(D454,1,2)=1,1*MID(D454,1,2)&gt;=5),"",MID(D452,1,3)="ｱﾙﾐ",_xlfn.SWITCH(MID(D451,4,1),"5",_xlfn.SWITCH(1*MID(D451,6,FIND("H",D451,6)-6),1,1.9,2,1.3,3,1.3,4,1.3,5,1.6,6,1.6,7,1.6,8,3.1,9,3.1,10,3.1,11,3.1,12,3.1),"6",_xlfn.SWITCH(1*MID(D451,6,FIND("H",D451,6)-6),1,1.8,2,1.3,3,1.8,4,1.8,5,3.3,6,3.3,7,3.3,8,9.9,9,9.9,10,9.9,11,9.9,12,9.9,13,9.9,14,9.9)),MID(D452,1,3)&lt;&gt;"ｱﾙﾐ",1)</f>
        <v>1</v>
      </c>
      <c r="L456" s="68">
        <f>IFERROR(D450*K456,"")</f>
        <v>10</v>
      </c>
    </row>
    <row r="457" spans="2:12" ht="11.1" customHeight="1">
      <c r="B457" s="39" t="s">
        <v>18</v>
      </c>
      <c r="C457" s="40" t="s">
        <v>10</v>
      </c>
      <c r="D457" s="75">
        <v>7</v>
      </c>
      <c r="F457" s="24">
        <v>11</v>
      </c>
      <c r="G457" s="17" t="str">
        <f>IF(OR(D447=0,D451="　",1*MID(D454,1,2)=1,1*MID(D454,1,2)&gt;=5),"","配列スペーサ")</f>
        <v>配列スペーサ</v>
      </c>
      <c r="H457" s="29" t="str">
        <f>IF(OR(D447=0,D451="　",1*MID(D454,1,2)=1,1*MID(D454,1,2)&gt;=5),"",IF(MID(D451,4,1)="5","PS5-"&amp;_xlfn.SWITCH(1*MID(D451,6,FIND("H",D451,6)-6),1,"7",2,"2",3,"3",4,"4",5,"7",6,"7",7,"7",8,"12",9,"12",10,"12",11,"12",12,"12"),"PS6-"&amp;_xlfn.SWITCH(1*MID(D451,6,FIND("H",D451,6)-6),1,"7",2,"2",3,"3",4,"4",5,"7",6,"7",7,"7",8,"12",9,"12",10,"12",11,"12",12,"12",13,"14",14,"14",15,"19",16,"19",17,"19",18,"19",19,"19"))&amp;"、ポリエチレン")</f>
        <v>PS5-3、ポリエチレン</v>
      </c>
      <c r="I457" s="52" t="str">
        <f>IF(OR(D447=0,D451="　",1*MID(D454,1,2)=1,1*MID(D454,1,2)&gt;=5),"","n=2")</f>
        <v>n=2</v>
      </c>
      <c r="J457" s="16" t="str">
        <f>IF(OR(D447=0,D451="　",1*MID(D454,1,2)=1,1*MID(D454,1,2)&gt;=5),"","個")</f>
        <v>個</v>
      </c>
      <c r="K457" s="32">
        <f>IF(OR(D447=0,D451="　",1*MID(D454,1,2)=1,1*MID(D454,1,2)&gt;=5),"",2)</f>
        <v>2</v>
      </c>
      <c r="L457" s="68">
        <f>IFERROR(D450*K457,"")</f>
        <v>20</v>
      </c>
    </row>
    <row r="458" spans="2:12" ht="11.1" customHeight="1">
      <c r="B458" s="36" t="s">
        <v>17</v>
      </c>
      <c r="C458" s="11" t="s">
        <v>16</v>
      </c>
      <c r="D458" s="54">
        <v>90</v>
      </c>
      <c r="F458" s="24">
        <v>12</v>
      </c>
      <c r="G458" s="17" t="str">
        <f>IF(OR(D447=0,D451="　"),"","スペーサ")</f>
        <v>スペーサ</v>
      </c>
      <c r="H458" s="29" t="str" cm="1">
        <f t="array" ref="H458">IF(OR(D447=0,D451="　"),"",IF(MID(D451,4,1)="5","S5-"&amp;_xlfn.IFS(1*MID(D451,6,FIND("H",D451,6)-6)&lt;6,"5",1*MID(D451,6,FIND("H",D451,6)-6)&lt;9,"8",1*MID(D451,6,FIND("H",D451,6)-6)&gt;8,"12"),"S6-"&amp;_xlfn.IFS(1*MID(D451,6,FIND("H",D451,6)-6)&lt;4,"3",1*MID(D451,6,FIND("H",D451,6)-6)&lt;7,"6",1*MID(D451,6,FIND("H",D451,6)-6)&lt;10,"9",1*MID(D451,6,FIND("H",D451,6)-6)&lt;13,"12",1*MID(D451,6,FIND("H",D451,6)-6)&lt;15,"14",1*MID(D451,6,FIND("H",D451,6)-6)&lt;20,"19"))&amp;"、ポリプロピレン")</f>
        <v>S5-5、ポリプロピレン</v>
      </c>
      <c r="I458" s="58" t="str">
        <f>IF(OR(D447=0,D451="　"),"","n=mround(アンカー体長－0.4)÷@1.0m, 1.0)")</f>
        <v>n=mround(アンカー体長－0.4)÷@1.0m, 1.0)</v>
      </c>
      <c r="J458" s="16" t="str">
        <f>IF(OR(D447=0,D451="　"),"","個")</f>
        <v>個</v>
      </c>
      <c r="K458" s="38">
        <f>IF(OR(D447=0,D451="　"),"",MROUND((D457-0.4)/1,1))</f>
        <v>7</v>
      </c>
      <c r="L458" s="67">
        <f>IFERROR(D450*K458,"")</f>
        <v>70</v>
      </c>
    </row>
    <row r="459" spans="2:12" ht="11.1" customHeight="1">
      <c r="B459" s="41" t="s">
        <v>37</v>
      </c>
      <c r="C459" s="5" t="s">
        <v>16</v>
      </c>
      <c r="D459" s="66" cm="1">
        <f t="array" ref="D459">IF(OR(D447=0,D451="　"),"",_xlfn.SWITCH(1*MID(D454,1,2),0,_xlfn.SWITCH(1*MID(D451,4,1),5,_xlfn.SWITCH(1*MID(LEFT(D451, LEN(D451)-1),6,2),1,90,2,90,3,90,4,90,5,90,6,115,7,115,8,115,9,135,10,135,11,135,12,135),6,_xlfn.SWITCH(1*MID(LEFT(D451, LEN(D451)-1),6,2),1,90,2,90,3,90,4,115,5,115,6,115,7,135,8,135,9,135,10,146,11,146,12,146,13,165,14,165)),1,_xlfn.SWITCH(1*MID(D451,4,1),5,_xlfn.SWITCH(1*MID(LEFT(D451, LEN(D451)-1),6,2),1,90,2,90,3,90,4,90,5,115,6,115,7,135,8,135,9,135,10,135,11,165,12,165),6,_xlfn.SWITCH(1*MID(LEFT(D451, LEN(D451)-1),6,2),1,90,2,90,3,115,4,115,5,135,6,135,7,135,8,135,9,135,10,165,11,165,12,165,13,165,14,165)),2,_xlfn.SWITCH(1*MID(D451,4,1),5,_xlfn.SWITCH(1*MID(LEFT(D451, LEN(D451)-1),6,2),1,90,2,90,3,115,4,115,5,115,6,115,7,135,8,135,9,146,10,146,11,146,12,146),6,_xlfn.SWITCH(1*MID(LEFT(D451, LEN(D451)-1),6,2),1,90,2,90,3,115,4,115,5,135,6,135,7,146,8,146,9,146,10,165,11,165,12,165,13,216,14,216)),3,_xlfn.SWITCH(1*MID(D451,4,1),5,_xlfn.SWITCH(1*MID(LEFT(D451, LEN(D451)-1),6,2),1,115,2,115,3,115,4,115,5,115,6,135,7,135,8,135,9,146,10,146,11,146,12,146),6,_xlfn.SWITCH(1*MID(LEFT(D451, LEN(D451)-1),6,2),1,115,2,115,3,115,4,135,5,135,6,135,7,146,8,146,9,146,10,165,11,165,12,165,13,216,14,216)),4,_xlfn.SWITCH(1*MID(D451,4,1),5,_xlfn.SWITCH(1*MID(LEFT(D451, LEN(D451)-1),6,2),1,115,2,115,3,115,4,115,5,115,6,135,7,135,8,135,9,146,10,146,11,146,12,146),6,_xlfn.SWITCH(1*MID(LEFT(D451, LEN(D451)-1),6,2),1,115,2,115,3,115,4,135,5,135,6,135,7,146,8,146,9,146,10,165,11,165,12,165,13,216,14,216)),5,_xlfn.SWITCH(1*MID(D451,4,1),5,_xlfn.SWITCH(1*MID(LEFT(D451, LEN(D451)-1),6,2),1,90,2,90,3,115,4,115,5,115,6,115,7,135,8,135,9,165,10,165,11,165,12,165),6,_xlfn.SWITCH(1*MID(LEFT(D451, LEN(D451)-1),6,2),1,90,2,90,3,115,4,115,5,135,6,135,7,165,8,165,9,165,10,165,11,165,12,165,13,216,14,216)),6,_xlfn.SWITCH(1*MID(D451,4,1),5,_xlfn.SWITCH(1*MID(LEFT(D451, LEN(D451)-1),6,2),1,115,2,115,3,115,4,115,5,115,6,135,7,135,8,135,9,165,10,165,11,165,12,165),6,_xlfn.SWITCH(1*MID(LEFT(D451, LEN(D451)-1),6,2),1,115,2,115,3,115,4,135,5,135,6,135,7,165,8,165,9,165,10,165,11,165,12,165,13,216,14,216)),7,_xlfn.SWITCH(1*MID(D451,4,1),5,_xlfn.SWITCH(1*MID(LEFT(D451, LEN(D451)-1),6,2),1,115,2,115,3,115,4,115,5,115,6,135,7,135,8,135,9,165,10,165,11,165,12,165),6,_xlfn.SWITCH(1*MID(LEFT(D451, LEN(D451)-1),6,2),1,115,2,115,3,115,4,135,5,135,6,135,7,165,8,165,9,165,10,165,11,165,12,165,13,216,14,216))))</f>
        <v>90</v>
      </c>
      <c r="F459" s="24">
        <v>13</v>
      </c>
      <c r="G459" s="17" t="str">
        <f>IF(OR(D447=0,D451="　"),"","ﾊﾟｲﾛｯﾄｷｬｯﾌﾟ")</f>
        <v>ﾊﾟｲﾛｯﾄｷｬｯﾌﾟ</v>
      </c>
      <c r="H459" s="29" t="str" cm="1">
        <f t="array" ref="H459">IF(OR(D447=0,D451="　"),"",IF(MID(D451,4,1)="5","PC5-"&amp;_xlfn.IFS(1*MID(D451,6,FIND("H",D451,6)-6)&lt;5,"4",1*MID(D451,6,FIND("H",D451,6)-6)&lt;8,"7",1*MID(D451,6,FIND("H",D451,6)-6)&lt;10,"9",1*MID(D451,6,FIND("H",D451,6)-6)&gt;9,"12"),"PC6-"&amp;_xlfn.IFS(1*MID(D451,6,FIND("H",D451,6)-6)&lt;4,"3",1*MID(D451,6,FIND("H",D451,6)-6)&lt;8,"7",1*MID(D451,6,FIND("H",D451,6)-6)&lt;13,"12",1*MID(D451,6,FIND("H",D451,6)-6)&lt;15,"14",1*MID(D451,6,FIND("H",D451,6)-6)&lt;20,"19"))&amp;"、ポリプロピレン")</f>
        <v>PC5-4、ポリプロピレン</v>
      </c>
      <c r="I459" s="52" t="str">
        <f>IF(OR(D447=0,D451="　"),"","n=1")</f>
        <v>n=1</v>
      </c>
      <c r="J459" s="16" t="str">
        <f>IF(OR(D447=0,D451="　"),"","個")</f>
        <v>個</v>
      </c>
      <c r="K459" s="32">
        <f>IF(OR(D447=0,D451="　"),"",1)</f>
        <v>1</v>
      </c>
      <c r="L459" s="68">
        <f>IFERROR(D450*K459,"")</f>
        <v>10</v>
      </c>
    </row>
    <row r="460" spans="2:12" ht="11.1" customHeight="1">
      <c r="B460" s="43" t="s">
        <v>30</v>
      </c>
      <c r="C460" s="44" t="s">
        <v>31</v>
      </c>
      <c r="D460" s="59" t="str">
        <f>IF(OR(D447=0,D451="　"),"",IF(D458=D459,"OK","CHECK"))</f>
        <v>OK</v>
      </c>
      <c r="F460" s="24">
        <v>14</v>
      </c>
      <c r="G460" s="17" t="str">
        <f>IF(OR(D447=0,D451="　"),"","結束バンド")</f>
        <v>結束バンド</v>
      </c>
      <c r="H460" s="29" t="str">
        <f>IF(OR(D447=0,D451="　"),"","66ナイロン")</f>
        <v>66ナイロン</v>
      </c>
      <c r="I460" s="58" t="str">
        <f>IF(OR(D447=0,D451="　"),"","n=スペーサ数×2")</f>
        <v>n=スペーサ数×2</v>
      </c>
      <c r="J460" s="16" t="str">
        <f>IF(OR(D447=0,D451="　"),"","本")</f>
        <v>本</v>
      </c>
      <c r="K460" s="38">
        <f>IF(OR(D447=0,D451="　"),"",2*K458)</f>
        <v>14</v>
      </c>
      <c r="L460" s="67">
        <f>IFERROR(D450*K460,"")</f>
        <v>140</v>
      </c>
    </row>
    <row r="461" spans="2:12" ht="11.1" customHeight="1">
      <c r="B461" s="45" t="s">
        <v>12</v>
      </c>
      <c r="C461" s="9" t="s">
        <v>10</v>
      </c>
      <c r="D461" s="60">
        <f>IF(OR(D447=0,D451="　"),"──",SUM(D455:D456))</f>
        <v>9</v>
      </c>
      <c r="F461" s="24">
        <v>15</v>
      </c>
      <c r="G461" s="17" t="str">
        <f>IF(OR(D447=0,D451="　"),"","結束テープ")</f>
        <v>結束テープ</v>
      </c>
      <c r="H461" s="29" t="str">
        <f>IF(OR(D447=0,D451="　"),"","フィラメントテープ")</f>
        <v>フィラメントテープ</v>
      </c>
      <c r="I461" s="58" t="str">
        <f>IF(OR(D447=0,D451="　"),"","L=(自由長+緊張部長)÷@1.0m×テープ係数"&amp;IF(MID(D451,4,1)="5",_xlfn.IFS(1*MID(LEFT(D451, LEN(D451)-1),6,2)&lt;4,"0.8",1*MID(LEFT(D451, LEN(D451)-1),6,2)&lt;7,"1.0",1*MID(LEFT(D451, LEN(D451)-1),6,2)&lt;10,"1.2",1*MID(LEFT(D451, LEN(D451)-1),6,2)&lt;13,"1.4"),_xlfn.IFS(1*MID(LEFT(D451, LEN(D451)-1),6,2)&lt;4,"1.0",1*MID(LEFT(D451, LEN(D451)-1),6,2)&lt;7,"1.2",1*MID(LEFT(D451, LEN(D451)-1),6,2)&lt;10,"1.4",1*MID(LEFT(D451, LEN(D451)-1),6,2)&lt;15,"1.8")))</f>
        <v>L=(自由長+緊張部長)÷@1.0m×テープ係数0.8</v>
      </c>
      <c r="J461" s="16" t="str">
        <f>IF(OR(D447=0,D451="　"),"","m")</f>
        <v>m</v>
      </c>
      <c r="K461" s="42" cm="1">
        <f t="array" ref="K461">IF(OR(D447=0,D451="　"),"",MROUND((SUM(D461,D462))/1*IF(MID(D451,4,1)="5",_xlfn.SWITCH(1*MID(D451,6,FIND("H",D451,6)-6),1,0.8,2,0.8,3,0.8,4,1,5,1,6,1,7,1.2,8,1.2,9,1.2,10,1.4,11,1.4,12,1.4),_xlfn.SWITCH(1*MID(D451,6,FIND("H",D451,6)-6),1,1,2,1,3,1,4,1.2,5,1.2,6,1.2,7,1.4,8,1.4,9,1.4,10,1.8,11,1.8,12,1.8,13,1.8,14,1.8,15,2.5,16,2.5,17,2.5,18,2.5,19,2.5)),0.1))</f>
        <v>8</v>
      </c>
      <c r="L461" s="69">
        <f>IFERROR(D450*K461,"")</f>
        <v>80</v>
      </c>
    </row>
    <row r="462" spans="2:12" ht="11.1" customHeight="1">
      <c r="B462" s="47" t="s">
        <v>13</v>
      </c>
      <c r="C462" s="10" t="s">
        <v>10</v>
      </c>
      <c r="D462" s="61" cm="1">
        <f t="array" ref="D462">IF(OR(D447=0,D451="　"),"──",IF(MID(D451,4,1)="5",_xlfn.IFS(1*MID(LEFT(D451,LEN(D451)-1),6,2)&lt;8,1,1*MID(LEFT(D451,LEN(D451)-1),6,2)&lt;13,1.2),_xlfn.IFS(1*MID(LEFT(D451,LEN(D451)-1),6,2)&lt;6,1,1*MID(LEFT(D451,LEN(D451)-1),6,2)&lt;15,1.2)))</f>
        <v>1</v>
      </c>
      <c r="F462" s="24">
        <v>16</v>
      </c>
      <c r="G462" s="17" t="str">
        <f>IF(OR(D447=0,D451="　",1*MID(D454,1,2)=1,1*MID(D454,1,2)=5),"","注入ホース")</f>
        <v>注入ホース</v>
      </c>
      <c r="H462" s="29" t="str">
        <f>IF(OR(D447=0,D451="　",1*MID(D454,1,2)=1,1*MID(D454,1,2)=5),"","φ16/20、高密度ポリエチレン")</f>
        <v>φ16/20、高密度ポリエチレン</v>
      </c>
      <c r="I462" s="46" t="str">
        <f>IF(OR(D447=0,D451="　",1*MID(D454,1,2)=1,1*MID(D454,1,2)=5),"","L=テンドン長")</f>
        <v>L=テンドン長</v>
      </c>
      <c r="J462" s="16" t="str">
        <f>IF(OR(D447=0,D451="　",1*MID(D454,1,2)=1,1*MID(D454,1,2)=5),"","m")</f>
        <v>m</v>
      </c>
      <c r="K462" s="30">
        <f>IF(OR(D447=0,D451="　",1*MID(D454,1,2)=1,1*MID(D454,1,2)=5),"",MROUND(D464,0.1))</f>
        <v>17.2</v>
      </c>
      <c r="L462" s="67">
        <f>IFERROR(D450*K462,"")</f>
        <v>172</v>
      </c>
    </row>
    <row r="463" spans="2:12" ht="11.1" customHeight="1">
      <c r="B463" s="48" t="s">
        <v>19</v>
      </c>
      <c r="C463" s="10" t="s">
        <v>14</v>
      </c>
      <c r="D463" s="62">
        <f>IF(OR(D447=0,D451="　"),"──",0.2)</f>
        <v>0.2</v>
      </c>
      <c r="F463" s="24">
        <v>17</v>
      </c>
      <c r="G463" s="17" t="str" cm="1">
        <f t="array" ref="G463">_xlfn.IFS(OR(D447=0,D451="　",MID(D453,1,2)="なし",MID(D453,1,3)="受圧体",1*MID(D454,1,2)=1,1*MID(D454,1,2)&gt;=5),"",MID(D453,1,3)="のり面","のり面角度台座",MID(D453,1,3)="構造物","構造物壁面台座",MID(D453,1,3)="土留め","土留め台座",MID(D453,1,3)="個別台","個別台座")</f>
        <v>のり面角度台座</v>
      </c>
      <c r="H463" s="46" t="str" cm="1">
        <f t="array" ref="H463">IF(OR(D447=0,D451="　",G463=""),"",_xlfn.IFS(MID(D453,1,3)="のり面",IF(1*MID(D451,4,1)=5,_xlfn.IFS(1*MID(D451,6,FIND("H",D451,6)-6)&lt;5,"ST140",1*MID(D451,6,FIND("H",D451,6)-6)&lt;8,"ST170",1*MID(D451,6,FIND("H",D451,6)-6)&lt;13,"ST220"),_xlfn.IFS(1*MID(D451,6,FIND("H",D451,6)-6)&lt;4,"ST140",1*MID(D451,6,FIND("H",D451,6)-6)&lt;5,"ST170",1*MID(D451,6,FIND("H",D451,6)-6)&lt;8,"ST220",1*MID(D451,6,FIND("H",D451,6)-6)&lt;20,"非該当"))&amp;"、FCD450相当",OR(MID(D453,1,3)="構造物",MID(D453,1,3)="土留め",MID(D453,1,3)="個別台"),D451&amp;"用"&amp;_xlfn.IFS(MID(D453,1,3)="構造物","",MID(D453,1,3)="土留め",IF(1*MID(D451,4,1)=5,_xlfn.SWITCH(1*MID(D451,6,FIND("H",D451,6)-6),1,"DA110",2,"DA220",3,"DA330",4,"DA440",5,"DA550",6,"DA660",7,"DA770",8,"DA880",9,"DA990",10,"DA1100",11,"DA1210",12,"DA1320"),_xlfn.SWITCH(1*MID(D451,6,FIND("H",D451,6)-6),1,"DA220",2,"DA330",3,"DA550",4,"DA660",5,"DA880",6,"DA990",7,"DA1100",8,"DA1320",9,"DA1410",10,"DA1570",11,"DA1730",12,"DA1880",13,"DA2040",14,"DA2200")),MID(D453,1,3)="個別台",D466)))&amp;IF(OR(D447=0,D451="　",G463=""),"","、"&amp;_xlfn.IFS(MID(D449,1,3)="防食Ⅱ","HDZT77めっき",MID(D449,5,2)="塩害","ｱﾙﾐﾅｲｽﾞ処理",MID(D449,5,2)="酸性","重防食処理"))</f>
        <v>ST140、FCD450相当、HDZT77めっき</v>
      </c>
      <c r="I463" s="52" t="str">
        <f>IF(OR(D447=0,D451="　",G463=""),"","n=1")</f>
        <v>n=1</v>
      </c>
      <c r="J463" s="16" t="str">
        <f>IF(OR(D447=0,D451="　",G463=""),"","台")</f>
        <v>台</v>
      </c>
      <c r="K463" s="32">
        <f>IF(OR(D447=0,D451="　",G463=""),"",1)</f>
        <v>1</v>
      </c>
      <c r="L463" s="68">
        <f>IFERROR(D450*K463,"")</f>
        <v>10</v>
      </c>
    </row>
    <row r="464" spans="2:12" ht="11.1" customHeight="1">
      <c r="B464" s="50" t="s">
        <v>20</v>
      </c>
      <c r="C464" s="10" t="s">
        <v>10</v>
      </c>
      <c r="D464" s="63">
        <f>IF(OR(D447=0,D451="　"),"──",SUM(D457,D461:D463))</f>
        <v>17.2</v>
      </c>
      <c r="F464" s="24">
        <v>18</v>
      </c>
      <c r="G464" s="17" t="str">
        <f>IF(OR(D447=0,D451="　",MID(D453,1,3)&lt;&gt;"のり面",1*MID(D454,1,2)=1,1*MID(D454,1,2)&gt;=5),"","補剛板")</f>
        <v>補剛板</v>
      </c>
      <c r="H464" s="46" t="str" cm="1">
        <f t="array" ref="H464">IF(OR(D447=0,D451="　",G464=""),"",IF(MID(D451,4,1)="5","□"&amp;_xlfn.SWITCH(1*MID(D451,6,FIND("H",D451,6)-6),1,"210φ131t12",2,"210φ131t12",3,"240φ131t12",4,"270φ131t12",5,"280φ143t12",6,"310φ143t16",7,"350φ143t19",8,"350φ180t19",9,"350φ180t19",10,"350φ180t19",11,"350φ180t22",12,"350φ180t22"),"□"&amp;_xlfn.SWITCH(1*MID(D451,6,FIND("H",D451,6)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447=0,D451="　",G464=""),"","、"&amp;_xlfn.IFS(MID(D449,1,3)="防食Ⅱ","HDZT77めっき",MID(D449,5,2)="塩害","ｱﾙﾐﾅｲｽﾞ処理",MID(D449,5,2)="酸性","重防食処理"))</f>
        <v>□240φ131t12、SS400相当、HDZT77めっき</v>
      </c>
      <c r="I464" s="52" t="str">
        <f>IF(OR(D447=0,D451="　",G464=""),"","n=1")</f>
        <v>n=1</v>
      </c>
      <c r="J464" s="16" t="str">
        <f>IF(OR(D447=0,D451="　",G464=""),"","枚")</f>
        <v>枚</v>
      </c>
      <c r="K464" s="32">
        <f>IF(OR(D447=0,D451="　",G464=""),"",1)</f>
        <v>1</v>
      </c>
      <c r="L464" s="68">
        <f>IFERROR(D450*K464,"")</f>
        <v>10</v>
      </c>
    </row>
    <row r="465" spans="2:12" ht="11.1" customHeight="1">
      <c r="B465" s="51" t="s">
        <v>15</v>
      </c>
      <c r="C465" s="12" t="s">
        <v>10</v>
      </c>
      <c r="D465" s="64">
        <f>IF(OR(D447=0,D451="　"),"──",0.25)</f>
        <v>0.25</v>
      </c>
      <c r="F465" s="24">
        <v>19</v>
      </c>
      <c r="G465" s="17" t="str" cm="1">
        <f t="array" ref="G465">_xlfn.IFS(OR(D447=0,D451="　",MID(D452,1,3)="ｱﾙﾐ",1*MID(D454,1,2)=1,1*MID(D454,1,2)&gt;=5),"",MID(D452,1,3)&lt;&gt;"ｱﾙﾐ","テンドン補修用塗料")</f>
        <v>テンドン補修用塗料</v>
      </c>
      <c r="H465" s="38" t="str" cm="1">
        <f t="array" ref="H465">_xlfn.IFS(OR(D447=0,D451="　",MID(D452,1,3)="ｱﾙﾐ",1*MID(D454,1,2)=1,1*MID(D454,1,2)&gt;=5),"",MID(D452,1,3)&lt;&gt;"ｱﾙﾐ","エポキシ樹脂")</f>
        <v>エポキシ樹脂</v>
      </c>
      <c r="I465" s="52" t="str" cm="1">
        <f t="array" ref="I465">_xlfn.IFS(OR(D447=0,D451="　",MID(D452,1,3)="ｱﾙﾐ",1*MID(D454,1,2)=1,1*MID(D454,1,2)&gt;=5),"",MID(D452,1,3)&lt;&gt;"ｱﾙﾐ","W=PC鋼より線本数×"&amp;IF(MID(D451,4,1)="5","0.28","0.4"))</f>
        <v>W=PC鋼より線本数×0.28</v>
      </c>
      <c r="J465" s="16" t="str" cm="1">
        <f t="array" ref="J465">_xlfn.IFS(OR(D447=0,D451="　",MID(D452,1,3)="ｱﾙﾐ",1*MID(D454,1,2)=1,1*MID(D454,1,2)&gt;=5),"",MID(D452,1,3)&lt;&gt;"ｱﾙﾐ","g")</f>
        <v>g</v>
      </c>
      <c r="K465" s="77" cm="1">
        <f t="array" ref="K465">_xlfn.IFS(OR(D447=0,D451="　",MID(D452,1,3)="ｱﾙﾐ",1*MID(D454,1,2)=1,1*MID(D454,1,2)&gt;=5),"",MID(D452,1,3)&lt;&gt;"ｱﾙﾐ",MID(D451,6,FIND("H",D451,6)-6)*IF(MID(D451,4,1)="5",0.28,0.4))</f>
        <v>0.84000000000000008</v>
      </c>
      <c r="L465" s="78">
        <f>IFERROR(D450*K465,"")</f>
        <v>8.4</v>
      </c>
    </row>
    <row r="466" spans="2:12" ht="11.1" customHeight="1">
      <c r="B466" s="65" t="s">
        <v>32</v>
      </c>
      <c r="C466" s="3" t="s">
        <v>33</v>
      </c>
      <c r="D466" s="76"/>
      <c r="F466" s="24">
        <v>20</v>
      </c>
      <c r="G466" s="17" t="str" cm="1">
        <f t="array" ref="G466">_xlfn.IFS(OR(D447=0,D451="　",MID(D452,1,3)="ｱﾙﾐ",1*MID(D454,1,2)=1,1*MID(D454,1,2)&gt;=5),"",MID(D452,1,3)&lt;&gt;"ｱﾙﾐ","長期防錆スプレー")</f>
        <v>長期防錆スプレー</v>
      </c>
      <c r="H466" s="38" t="str" cm="1">
        <f t="array" ref="H466">_xlfn.IFS(OR(D447=0,D451="　",MID(D452,1,3)="ｱﾙﾐ",1*MID(D454,1,2)=1,1*MID(D454,1,2)&gt;=5),"",MID(D452,1,3)&lt;&gt;"ｱﾙﾐ","防錆オイル")</f>
        <v>防錆オイル</v>
      </c>
      <c r="I466" s="52" t="str" cm="1">
        <f t="array" ref="I466">_xlfn.IFS(OR(D447=0,D451="　",MID(D452,1,3)="ｱﾙﾐ",1*MID(D454,1,2)=1,1*MID(D454,1,2)&gt;=5),"",MID(D452,1,3)&lt;&gt;"ｱﾙﾐ","n=0.01×(PC鋼より線本数+"&amp;IF(MID(D451,4,1)="5","6","12")&amp;")")</f>
        <v>n=0.01×(PC鋼より線本数+6)</v>
      </c>
      <c r="J466" s="16" t="str" cm="1">
        <f t="array" ref="J466">_xlfn.IFS(OR(D447=0,D451="　",MID(D452,1,3)="ｱﾙﾐ",1*MID(D454,1,2)=1,1*MID(D454,1,2)&gt;=5),"",MID(D452,1,3)&lt;&gt;"ｱﾙﾐ","缶")</f>
        <v>缶</v>
      </c>
      <c r="K466" s="77" cm="1">
        <f t="array" ref="K466">_xlfn.IFS(OR(D447=0,D451="　",MID(D452,1,3)="ｱﾙﾐ",1*MID(D454,1,2)=1,1*MID(D454,1,2)&gt;=5),"",MID(D452,1,3)&lt;&gt;"ｱﾙﾐ",0.01*(IF(MID(D451,4,1)="5",6,12)+MID(LEFT(D451,LEN(D451)-1),6,2)))</f>
        <v>0.09</v>
      </c>
      <c r="L466" s="78">
        <f>IFERROR(D450*K466,"")</f>
        <v>0.89999999999999991</v>
      </c>
    </row>
    <row r="467" spans="2:12" ht="11.1" customHeight="1">
      <c r="F467" s="24">
        <v>21</v>
      </c>
      <c r="G467" s="17" t="str">
        <f>IF(OR(D447=0,D451="　",1*MID(D454,1,2)&lt;=1,1*MID(D454,1,2)=3,,1*MID(D454,1,2)=6),"","ﾌﾘｰﾊﾟｯｶｰ注入ﾎｰｽ")</f>
        <v/>
      </c>
      <c r="H467" s="29" t="str">
        <f>IF(OR(D447=0,D451="　",1*MID(D454,1,2)&lt;=1,1*MID(D454,1,2)=3,,1*MID(D454,1,2)=6),"","φ16/20、ポリエチレン")</f>
        <v/>
      </c>
      <c r="I467" s="29" t="str">
        <f>IF(OR(D447=0,D451="　",1*MID(D454,1,2)&lt;=1,1*MID(D454,1,2)=3,,1*MID(D454,1,2)=6),"","L=自由長+緊張部長")</f>
        <v/>
      </c>
      <c r="J467" s="16" t="str">
        <f>IF(OR(D447=0,D451="　",1*MID(D454,1,2)&lt;=1,1*MID(D454,1,2)=3,,1*MID(D454,1,2)=6),"","m")</f>
        <v/>
      </c>
      <c r="K467" s="30" t="str">
        <f>IF(OR(D447=0,D451="　",1*MID(D454,1,2)&lt;=1,1*MID(D454,1,2)=3,,1*MID(D454,1,2)=6),"",D461+D462)</f>
        <v/>
      </c>
      <c r="L467" s="67" t="str">
        <f>IFERROR(D450*K467,"")</f>
        <v/>
      </c>
    </row>
    <row r="468" spans="2:12" ht="11.1" customHeight="1">
      <c r="F468" s="24">
        <v>22</v>
      </c>
      <c r="G468" s="17" t="str">
        <f>IF(OR(D447=0,D451="　",1*MID(D454,1,2)&lt;=1,1*MID(D454,1,2)=3,,1*MID(D454,1,2)=6),"","フリーパッカー")</f>
        <v/>
      </c>
      <c r="H468" s="52" t="str" cm="1">
        <f t="array" ref="H468">IF(OR(D447=0,D451="　",1*MID(D454,1,2)&lt;=1,1*MID(D454,1,2)=3,1*MID(D454,1,2)=6),"",_xlfn.SWITCH(D458,90,"PA-170",115,"PA-200",135,"PA-240",146,"PA-290",165,"PA-350",216,"PA-420")&amp;"、織布")</f>
        <v/>
      </c>
      <c r="I468" s="52" t="str">
        <f>IF(OR(D447=0,D451="　",1*MID(D454,1,2)&lt;=1,1*MID(D454,1,2)=3,1*MID(D454,1,2)=6),"","L=自由長+0.5")</f>
        <v/>
      </c>
      <c r="J468" s="16" t="str">
        <f>IF(OR(D447=0,D451="　",1*MID(D454,1,2)&lt;=1,1*MID(D454,1,2)=3,,1*MID(D454,1,2)=6),"","m")</f>
        <v/>
      </c>
      <c r="K468" s="30" t="str">
        <f>IF(OR(D447=0,D451="　",1*MID(D454,1,2)&lt;=1,1*MID(D454,1,2)=3,,1*MID(D454,1,2)=6),"",D461+0.5)</f>
        <v/>
      </c>
      <c r="L468" s="69" t="str">
        <f>IFERROR(D450*K468,"")</f>
        <v/>
      </c>
    </row>
    <row r="469" spans="2:12" ht="11.1" customHeight="1">
      <c r="F469" s="24">
        <v>23</v>
      </c>
      <c r="G469" s="17" t="str">
        <f>IF(OR(D447=0,D451="　",1*MID(D454,1,2)&lt;=1,1*MID(D454,1,2)=3,,1*MID(D454,1,2)=6),"","ﾌﾘｰﾊﾟｯｶｰ取付加工")</f>
        <v/>
      </c>
      <c r="H469" s="29" t="str">
        <f>IF(OR(D447=0,D451="　",1*MID(D454,1,2)&lt;=1,1*MID(D454,1,2)=3,,1*MID(D454,1,2)=6),"","材工")</f>
        <v/>
      </c>
      <c r="I469" s="29" t="str">
        <f>IF(OR(D447=0,D451="　",1*MID(D454,1,2)&lt;=1,1*MID(D454,1,2)=3,,1*MID(D454,1,2)=6),"","n=1")</f>
        <v/>
      </c>
      <c r="J469" s="16" t="str">
        <f>IF(OR(D447=0,D451="　",1*MID(D454,1,2)&lt;=1,1*MID(D454,1,2)=3,,1*MID(D454,1,2)=6),"","式")</f>
        <v/>
      </c>
      <c r="K469" s="32" t="str">
        <f>IF(OR(D447=0,D451="　",1*MID(D454,1,2)&lt;=1,1*MID(D454,1,2)=3,,1*MID(D454,1,2)=6),"",1)</f>
        <v/>
      </c>
      <c r="L469" s="70" t="str">
        <f>IFERROR(D450*K469,"")</f>
        <v/>
      </c>
    </row>
    <row r="470" spans="2:12" ht="11.1" customHeight="1">
      <c r="F470" s="24">
        <v>24</v>
      </c>
      <c r="G470" s="17" t="str">
        <f>IF(OR(D447=0,D451="　",1*MID(D454,1,2)&lt;=2,1*MID(D454,1,2)=5),"","フリクションパッカー")</f>
        <v/>
      </c>
      <c r="H470" s="38" t="str" cm="1">
        <f t="array" ref="H470">IF(OR(D447=0,D451="　",1*MID(D454,1,2)&lt;=2,1*MID(D454,1,2)=5),"",_xlfn.SWITCH(D458,90,"FP125",115,"FP125",135,"FP150",146,"FP175",165,"FP200",216,"FP235")&amp;"、パイレン布")</f>
        <v/>
      </c>
      <c r="I470" s="38" t="str">
        <f>IF(OR(D447=0,D451="　",1*MID(D454,1,2)&lt;=2,1*MID(D454,1,2)=5),"","L=アンカー体長+0.5")</f>
        <v/>
      </c>
      <c r="J470" s="16" t="str">
        <f>IF(OR(D447=0,D451="　",1*MID(D454,1,2)&lt;=2,1*MID(D454,1,2)=5),"","m")</f>
        <v/>
      </c>
      <c r="K470" s="30" t="str">
        <f>IF(OR(D447=0,D451="　",1*MID(D454,1,2)&lt;=2,1*MID(D454,1,2)=5),"",D457+0.5)</f>
        <v/>
      </c>
      <c r="L470" s="68" t="str">
        <f>IFERROR(D450*K470,"")</f>
        <v/>
      </c>
    </row>
    <row r="471" spans="2:12" ht="11.1" customHeight="1">
      <c r="F471" s="24">
        <v>25</v>
      </c>
      <c r="G471" s="17" t="str">
        <f>IF(OR(D447=0,D451="　",1*MID(D454,1,2)&lt;=2,1*MID(D454,1,2)=5),"","ﾌﾘｸｼｮﾝﾊﾟｯｶｰ取付加工")</f>
        <v/>
      </c>
      <c r="H471" s="29" t="str">
        <f>IF(OR(D447=0,D451="　",1*MID(D454,1,2)&lt;=2,1*MID(D454,1,2)=5),"","材工")</f>
        <v/>
      </c>
      <c r="I471" s="29" t="str">
        <f>IF(OR(D447=0,D451="　",1*MID(D454,1,2)&lt;=2,1*MID(D454,1,2)=5),"","n=1")</f>
        <v/>
      </c>
      <c r="J471" s="16" t="str">
        <f>IF(OR(D447=0,D451="　",1*MID(D454,1,2)&lt;=2,1*MID(D454,1,2)=5),"","式")</f>
        <v/>
      </c>
      <c r="K471" s="32" t="str">
        <f>IF(OR(D447=0,D451="　",1*MID(D454,1,2)&lt;=2,1*MID(D454,1,2)=5),"",1)</f>
        <v/>
      </c>
      <c r="L471" s="70" t="str">
        <f>IFERROR(D450*K471,"")</f>
        <v/>
      </c>
    </row>
    <row r="472" spans="2:12" ht="11.1" customHeight="1">
      <c r="F472" s="24">
        <v>26</v>
      </c>
      <c r="G472" s="17" t="str">
        <f>IF(OR(D447=0,D451="　",1*MID(D454,1,2)=0,1*MID(D454,1,2)=2,1*MID(D454,1,2)=3,1*MID(D454,1,2)=4),"","試験ﾊﾟｯｶｰ水注入ﾎｰｽ")</f>
        <v/>
      </c>
      <c r="H472" s="38" t="str">
        <f>IF(OR(D447=0,D451="　",1*MID(D454,1,2)=0,1*MID(D454,1,2)=2,1*MID(D454,1,2)=3,1*MID(D454,1,2)=4),"","φ4/6、ナイロン")</f>
        <v/>
      </c>
      <c r="I472" s="38" t="str">
        <f>IF(OR(D447=0,D451="　",1*MID(D454,1,2)=0,1*MID(D454,1,2)=2,1*MID(D454,1,2)=3,1*MID(D454,1,2)=4),"","L=自由長+緊張部長")</f>
        <v/>
      </c>
      <c r="J472" s="79" t="str">
        <f>IF(OR(D447=0,D451="　",1*MID(D454,1,2)=0,1*MID(D454,1,2)=2,1*MID(D454,1,2)=3,1*MID(D454,1,2)=4),"","m")</f>
        <v/>
      </c>
      <c r="K472" s="80" t="str">
        <f>IF(OR(D447=0,D451="　",1*MID(D454,1,2)=0,1*MID(D454,1,2)=2,1*MID(D454,1,2)=3,1*MID(D454,1,2)=4),"",D461+D462)</f>
        <v/>
      </c>
      <c r="L472" s="81" t="str">
        <f>IFERROR(D450*K472,"")</f>
        <v/>
      </c>
    </row>
    <row r="473" spans="2:12" ht="11.1" customHeight="1">
      <c r="F473" s="24">
        <v>27</v>
      </c>
      <c r="G473" s="17" t="str">
        <f>IF(OR(D447=0,D451="　",1*MID(D454,1,2)=0,1*MID(D454,1,2)=2,1*MID(D454,1,2)=3,1*MID(D454,1,2)=4),"","引抜試験パッカー")</f>
        <v/>
      </c>
      <c r="H473" s="38" t="str" cm="1">
        <f t="array" ref="H473">IF(OR(D447=0,D451="　",1*MID(D454,1,2)=0,1*MID(D454,1,2)=2,1*MID(D454,1,2)=3,1*MID(D454,1,2)=4),"",_xlfn.SWITCH(D458,90,"PU90",115,"PU115",135,"PU135",146,"PU146",165,"PU165")&amp;"、3層構造(鋼管･ゴム･布)")</f>
        <v/>
      </c>
      <c r="I473" s="38" t="str">
        <f>IF(OR(D447=0,D451="　",1*MID(D454,1,2)=0,1*MID(D454,1,2)=2,1*MID(D454,1,2)=3,1*MID(D454,1,2)=4),"","n=1")</f>
        <v/>
      </c>
      <c r="J473" s="79" t="str">
        <f>IF(OR(D447=0,D451="　",1*MID(D454,1,2)=0,1*MID(D454,1,2)=2,1*MID(D454,1,2)=3,1*MID(D454,1,2)=4),"","式")</f>
        <v/>
      </c>
      <c r="K473" s="32" t="str" cm="1">
        <f t="array" ref="K473">IF(OR(D447=0,D451="　",1*MID(D454,1,2)=0,1*MID(D454,1,2)=2,1*MID(D454,1,2)=3,1*MID(D454,1,2)=4),"",_xlfn.IFS(OR(1*MID(D454,1,2)=1,1*MID(D454,1,2)&gt;=5),1))</f>
        <v/>
      </c>
      <c r="L473" s="68" t="str">
        <f>IFERROR(D450*K473,"")</f>
        <v/>
      </c>
    </row>
    <row r="474" spans="2:12" ht="11.1" customHeight="1">
      <c r="F474" s="24">
        <v>28</v>
      </c>
      <c r="G474" s="17" t="str">
        <f>IF(OR(D447=0,D451="　",1*MID(D454,1,2)=0,1*MID(D454,1,2)=2,1*MID(D454,1,2)=3,1*MID(D454,1,2)=4),"","引抜試験パッカー取付加工")</f>
        <v/>
      </c>
      <c r="H474" s="38" t="str">
        <f>IF(OR(D447=0,D451="　",1*MID(D454,1,2)=0,1*MID(D454,1,2)=2,1*MID(D454,1,2)=3,1*MID(D454,1,2)=4),"","材工")</f>
        <v/>
      </c>
      <c r="I474" s="38" t="str">
        <f>IF(OR(D447=0,D451="　",1*MID(D454,1,2)=0,1*MID(D454,1,2)=2,1*MID(D454,1,2)=3,1*MID(D454,1,2)=4),"","n=1")</f>
        <v/>
      </c>
      <c r="J474" s="79" t="str" cm="1">
        <f t="array" ref="J474">IF(OR(D447=0,D451="　",1*MID(D454,1,2)=0,1*MID(D454,1,2)=2,1*MID(D454,1,2)=3,1*MID(D454,1,2)=4),"",_xlfn.IFS(OR(1*MID(D454,1,2)=1,1*MID(D454,1,2)&gt;=5),"式"))</f>
        <v/>
      </c>
      <c r="K474" s="32" t="str" cm="1">
        <f t="array" ref="K474">IF(OR(D447=0,D451="　",1*MID(D454,1,2)=0,1*MID(D454,1,2)=2,1*MID(D454,1,2)=3,1*MID(D454,1,2)=4),"",_xlfn.IFS(OR(1*MID(D454,1,2)=1,1*MID(D454,1,2)&gt;=5),1))</f>
        <v/>
      </c>
      <c r="L474" s="68" t="str">
        <f>IFERROR(D450*K474,"")</f>
        <v/>
      </c>
    </row>
    <row r="475" spans="2:12" ht="11.1" customHeight="1">
      <c r="F475" s="24">
        <v>29</v>
      </c>
      <c r="G475" s="17" t="str">
        <f>IF(OR(D447=0,D451="　",1*MID(D454,1,2)=0,1*MID(D454,1,2)=2,1*MID(D454,1,2)=3,1*MID(D454,1,2)=4),"","自由長洗浄ﾎｰｽ")</f>
        <v/>
      </c>
      <c r="H475" s="38" t="str">
        <f>IF(OR(D447=0,D451="　",1*MID(D454,1,2)=0,1*MID(D454,1,2)=2,1*MID(D454,1,2)=3,1*MID(D454,1,2)=4),"","φ16/20、ポリエチレン")</f>
        <v/>
      </c>
      <c r="I475" s="38" t="str">
        <f>IF(OR(D447=0,D451="　",1*MID(D454,1,2)=0,1*MID(D454,1,2)=2,1*MID(D454,1,2)=3,1*MID(D454,1,2)=4),"","L=自由長+0.5")</f>
        <v/>
      </c>
      <c r="J475" s="79" t="str">
        <f>IF(OR(D447=0,D451="　",1*MID(D454,1,2)=0,1*MID(D454,1,2)=2,1*MID(D454,1,2)=3,1*MID(D454,1,2)=4),"","m")</f>
        <v/>
      </c>
      <c r="K475" s="32" t="str">
        <f>IF(OR(D447=0,D451="　",1*MID(D454,1,2)=0,1*MID(D454,1,2)=2,1*MID(D454,1,2)=3,1*MID(D454,1,2)=4),"",D461+0.5)</f>
        <v/>
      </c>
      <c r="L475" s="81" t="str">
        <f>IFERROR(D450*K475,"")</f>
        <v/>
      </c>
    </row>
    <row r="476" spans="2:12" ht="11.1" customHeight="1">
      <c r="D476" s="1" t="s">
        <v>9</v>
      </c>
      <c r="F476" s="56">
        <v>30</v>
      </c>
      <c r="G476" s="82" t="str">
        <f>IF(OR(D447=0,D451="　",1*MID(D454,1,2)&lt;=2,1*MID(D454,1,2)=5,MID(D476,6,2)&lt;&gt;"あり"),"","確認ホース")</f>
        <v/>
      </c>
      <c r="H476" s="83" t="str">
        <f>IF(OR(D447=0,D451="　",1*MID(D454,1,2)&lt;=2,1*MID(D454,1,2)=5,MID(D476,6,2)&lt;&gt;"あり"),"","φ17、ポリエチレン")</f>
        <v/>
      </c>
      <c r="I476" s="83"/>
      <c r="J476" s="84" t="str">
        <f>IF(OR(D447=0,D451="　",1*MID(D454,1,2)&lt;=2,1*MID(D454,1,2)=5,MID(D476,6,2)&lt;&gt;"あり"),"","m")</f>
        <v/>
      </c>
      <c r="K476" s="85" t="str">
        <f>IF(OR(D446=0,D451="　",1*MID(D454,1,2)&lt;=2,1*MID(D454,1,2)=5,MID(D476,6,2)&lt;&gt;"あり"),"",0.5+MROUND(D461+D463,0.1))</f>
        <v/>
      </c>
      <c r="L476" s="86" t="str">
        <f>IFERROR(D450*K476,"")</f>
        <v/>
      </c>
    </row>
    <row r="478" spans="2:12" ht="11.1" customHeight="1">
      <c r="B478" s="19" t="s">
        <v>1</v>
      </c>
      <c r="D478" s="4"/>
      <c r="G478" s="73" t="s">
        <v>39</v>
      </c>
    </row>
    <row r="479" spans="2:12" ht="11.1" customHeight="1">
      <c r="G479" s="99">
        <f>D480</f>
        <v>15</v>
      </c>
      <c r="H479" s="55" t="str">
        <f>IF(D481=0,"",D482&amp;" "&amp;D485&amp; "："&amp;TEXT(D498,"L=##0.00")&amp;"m"&amp;TEXT(D496,",L1=##0.00")&amp;"m"&amp;TEXT(D495,",Lf=##0.00")&amp;"m"&amp;TEXT(D491,",LA=##0.00")&amp;"m"&amp;TEXT(D497,",L2=##0.00")&amp;"m")</f>
        <v>(15)1段/2段 EHD5-3H：L=17.20m,L1=1.00m,Lf=9.00m,LA=7.00m,L2=0.20m</v>
      </c>
      <c r="I479" s="55"/>
      <c r="J479" s="18"/>
    </row>
    <row r="480" spans="2:12" ht="11.1" customHeight="1">
      <c r="B480" s="13" t="s">
        <v>2</v>
      </c>
      <c r="C480" s="3" t="s">
        <v>3</v>
      </c>
      <c r="D480" s="98">
        <f>1+(ROW()-ROW($D$4))/34</f>
        <v>15</v>
      </c>
      <c r="F480" s="20"/>
      <c r="G480" s="21" t="s">
        <v>21</v>
      </c>
      <c r="H480" s="22" t="s">
        <v>22</v>
      </c>
      <c r="I480" s="22" t="s">
        <v>38</v>
      </c>
      <c r="J480" s="23" t="s">
        <v>23</v>
      </c>
      <c r="K480" s="22" t="s">
        <v>24</v>
      </c>
      <c r="L480" s="3" t="s">
        <v>4</v>
      </c>
    </row>
    <row r="481" spans="2:12" ht="11.1" customHeight="1">
      <c r="B481" s="28" t="s">
        <v>25</v>
      </c>
      <c r="C481" s="5" t="s">
        <v>26</v>
      </c>
      <c r="D481" s="6">
        <v>1</v>
      </c>
      <c r="F481" s="24">
        <v>1</v>
      </c>
      <c r="G481" s="25" t="str">
        <f>IF(OR(D481=0,D485="　"),"","硅砂付着ECFﾃﾝﾄﾞﾝ")</f>
        <v>硅砂付着ECFﾃﾝﾄﾞﾝ</v>
      </c>
      <c r="H481" s="26" t="str">
        <f>IF(OR(D481=0,D485="　"),"",D485&amp;" ("&amp;MID(D485,6,FIND("H",D485,6)-6)&amp;IF(MID(D485,4,1)="5","φ12.7","φ15.2")&amp;")")</f>
        <v>EHD5-3H (3φ12.7)</v>
      </c>
      <c r="I481" s="57" t="str">
        <f>IF(OR(D481=0,D485="　"),"","W=テンドン長×PC鋼より線本数×"&amp;IF(MID(D485,4,1)="5","0.774","1.101")&amp;"kg/m")</f>
        <v>W=テンドン長×PC鋼より線本数×0.774kg/m</v>
      </c>
      <c r="J481" s="14" t="str">
        <f>IF(OR(D481=0,D485="　"),"","kg")</f>
        <v>kg</v>
      </c>
      <c r="K481" s="27">
        <f>IF(OR(D481=0,D485="　"),"",MROUND(D498*MID(D485,6,FIND("H",D485,6)-6)*IF(MID(D485,4,1)="5","0.774","1.101"),0.01))</f>
        <v>39.94</v>
      </c>
      <c r="L481" s="15">
        <f>IFERROR(D484*K481,"")</f>
        <v>399.4</v>
      </c>
    </row>
    <row r="482" spans="2:12" ht="11.1" customHeight="1">
      <c r="B482" s="31" t="s">
        <v>45</v>
      </c>
      <c r="C482" s="71" t="s">
        <v>6</v>
      </c>
      <c r="D482" s="74" t="s">
        <v>101</v>
      </c>
      <c r="F482" s="24">
        <v>2</v>
      </c>
      <c r="G482" s="17" t="str">
        <f>IF(OR(D481=0,D485="　"),"","アンカー工場加工")</f>
        <v>アンカー工場加工</v>
      </c>
      <c r="H482" s="29"/>
      <c r="I482" s="46" t="str">
        <f>IF(OR(D481=0,D485="　"),"","L=テンドン長")</f>
        <v>L=テンドン長</v>
      </c>
      <c r="J482" s="16" t="str">
        <f>IF(OR(D481=0,D485="　"),"","m")</f>
        <v>m</v>
      </c>
      <c r="K482" s="30">
        <f>IF(OR(D481=0,D485="　"),"",MROUND(D498,0.1))</f>
        <v>17.2</v>
      </c>
      <c r="L482" s="67">
        <f>IFERROR(D484*K482,"")</f>
        <v>172</v>
      </c>
    </row>
    <row r="483" spans="2:12" ht="11.1" customHeight="1">
      <c r="B483" s="34" t="s">
        <v>7</v>
      </c>
      <c r="C483" s="49" t="s">
        <v>6</v>
      </c>
      <c r="D483" s="2" t="s">
        <v>34</v>
      </c>
      <c r="F483" s="24">
        <v>3</v>
      </c>
      <c r="G483" s="17" t="str">
        <f>IF(OR(D481=0,D485="　",1*MID(D488,1,2)=1,1*MID(D488,1,2)&gt;=5),"","頭部キャップ")</f>
        <v>頭部キャップ</v>
      </c>
      <c r="H483" s="29" t="str" cm="1">
        <f t="array" ref="H483">IF(OR(D481=0,D485="　",1*MID(D488,1,2)=1,1*MID(D488,1,2)&gt;=5),"",IF(MID(D485,4,1)="5",_xlfn.SWITCH(1*MID(D485,6,FIND("H",D485,6)-6),1,"S",2,"S",3,"S",4,"S",5,"M",6,"M",7,"M",8,"L",9,"L",10,"L",11,"L",12,"L"),_xlfn.SWITCH(1*MID(D485,6,FIND("H",D485,6)-6),1,"S",2,"S",3,"M",4,"M",5,"L",6,"L",7,"L",8,"LL",9,"LL",10,"LL",11,"LL",12,"LL",13,"LL",14,"LL",15,"3L",16,"3L",17,"3L",18,"3L",19,"3L"))&amp;"型"&amp;MID(D486,IF(MID(D486,1,1)="G",4,1),10)&amp;IF(OR(MID(D486,1,2)="透明",MID(D486,1,2)="5窓"),"、PC樹脂","")&amp;IF(MID(D486,4,2)="鋼製","、SS400相当、HDZT77めっき","、ｱﾙﾐAC4C相当"))&amp;_xlfn.IFS(OR(D481=0,D485="　",MID(D483,1,3)="防食Ⅱ"),"",MID(D483,5,2)="塩害","、ﾀｹｺｰﾄ処理",MID(D483,5,2)="酸性","、重防食処理")</f>
        <v>S型透明ｷｬｯﾌﾟ、PC樹脂、ｱﾙﾐAC4C相当</v>
      </c>
      <c r="I483" s="52" t="str">
        <f>IF(OR(D481=0,D485="　",1*MID(D488,1,2)=1,1*MID(D488,1,2)&gt;=5),"","n=1")</f>
        <v>n=1</v>
      </c>
      <c r="J483" s="16" t="str">
        <f>IF(OR(D481=0,D485="　",1*MID(D488,1,2)=1,1*MID(D488,1,2)&gt;=5),"","個")</f>
        <v>個</v>
      </c>
      <c r="K483" s="32">
        <f>IF(OR(D481=0,D485="　",1*MID(D488,1,2)=1,1*MID(D488,1,2)&gt;=5),"",1)</f>
        <v>1</v>
      </c>
      <c r="L483" s="68">
        <f>IFERROR(D484*K483,"")</f>
        <v>10</v>
      </c>
    </row>
    <row r="484" spans="2:12" ht="11.1" customHeight="1">
      <c r="B484" s="31" t="s">
        <v>27</v>
      </c>
      <c r="C484" s="10" t="s">
        <v>5</v>
      </c>
      <c r="D484" s="75">
        <v>10</v>
      </c>
      <c r="F484" s="24">
        <v>4</v>
      </c>
      <c r="G484" s="17" t="str">
        <f>IF(OR(D481=0,D485="　",1*MID(D488,1,2)=1,1*MID(D488,1,2)&gt;=5),"","アンカーヘッド")</f>
        <v>アンカーヘッド</v>
      </c>
      <c r="H484" s="29" t="str" cm="1">
        <f t="array" ref="H484">IF(OR(D481=0,D485="　",1*MID(D488,1,2)=1,1*MID(D488,1,2)&gt;=5),"",IF(MID(D485,4,1)="5","G5"&amp;_xlfn.SWITCH(1*MID(D485,6,FIND("H",D485,6)-6),1,"01",2,"02",3,"03",4,"04",5,"07",6,"07",7,"07",8,"09",9,"09",10,"12",11,"12",12,"12"),"G6"&amp;_xlfn.SWITCH(1*MID(D485,6,FIND("H",D485,6)-6),1,"01",2,"02",3,"03",4,"04",5,"07",6,"07",7,"07",8,"09",9,"09",10,"12",11,"12",12,"12",13,"14",14,"14",15,"19",16,"19",17,"19",18,"19",19,"19"))&amp;"、S45C相当")&amp;IF(OR(D481=0,D485="　",MID(D486,1,3)="ｱﾙﾐ",1*MID(D488,1,2)=1,1*MID(D488,1,2)&gt;=5),"","、無電解Niめっき")</f>
        <v>G503、S45C相当、無電解Niめっき</v>
      </c>
      <c r="I484" s="52" t="str">
        <f>IF(OR(D481=0,D485="　",1*MID(D488,1,2)=1,1*MID(D488,1,2)&gt;=5),"","n=1")</f>
        <v>n=1</v>
      </c>
      <c r="J484" s="16" t="str">
        <f>IF(OR(D481=0,D485="　",1*MID(D488,1,2)=1,1*MID(D488,1,2)&gt;=5),"","個")</f>
        <v>個</v>
      </c>
      <c r="K484" s="32">
        <f>IF(OR(D481=0,D485="　",1*MID(D488,1,2)=1,1*MID(D488,1,2)&gt;=5),"",1)</f>
        <v>1</v>
      </c>
      <c r="L484" s="68">
        <f>IFERROR(D484*K484,"")</f>
        <v>10</v>
      </c>
    </row>
    <row r="485" spans="2:12" ht="11.1" customHeight="1">
      <c r="B485" s="33" t="s">
        <v>28</v>
      </c>
      <c r="C485" s="71" t="s">
        <v>6</v>
      </c>
      <c r="D485" s="7" t="s">
        <v>0</v>
      </c>
      <c r="F485" s="24">
        <v>5</v>
      </c>
      <c r="G485" s="17" t="str">
        <f>IF(OR(D481=0,D485="　",1*MID(D488,1,2)=1,1*MID(D488,1,2)&gt;=5),"","ナット")</f>
        <v>ナット</v>
      </c>
      <c r="H485" s="29" t="str" cm="1">
        <f t="array" ref="H485">IF(OR(D481=0,D485="　",1*MID(D488,1,2)=1,1*MID(D488,1,2)&gt;=5),"",IF(MID(D485,4,1)="5","G5"&amp;_xlfn.SWITCH(1*MID(D485,6,FIND("H",D485,6)-6),1,"01",2,"02",3,"03",4,"04",5,"07",6,"07",7,"07",8,"09",9,"09",10,"12",11,"12",12,"12"),"G6"&amp;_xlfn.SWITCH(1*MID(D485,6,FIND("H",D485,6)-6),1,"01",2,"02",3,"03",4,"04",5,"07",6,"07",7,"07",8,"09",9,"09",10,"12",11,"12",12,"12",13,"14",14,"14",15,"19",16,"19",17,"19",18,"19",19,"19"))&amp;"、S45C相当")&amp;IF(OR(D481=0,D485="　",MID(D486,1,3)="ｱﾙﾐ",1*MID(D488,1,2)=1,1*MID(D488,1,2)&gt;=5),"","、無電解Niめっき")</f>
        <v>G503、S45C相当、無電解Niめっき</v>
      </c>
      <c r="I485" s="52" t="str">
        <f>IF(OR(D481=0,D485="　",1*MID(D488,1,2)=1,1*MID(D488,1,2)&gt;=5),"","n=1")</f>
        <v>n=1</v>
      </c>
      <c r="J485" s="16" t="str">
        <f>IF(OR(D481=0,D485="　",1*MID(D488,1,2)=1,1*MID(D488,1,2)&gt;=5),"","個")</f>
        <v>個</v>
      </c>
      <c r="K485" s="32">
        <f>IF(OR(D481=0,D485="　",1*MID(D488,1,2)=1,1*MID(D488,1,2)&gt;=5),"",1)</f>
        <v>1</v>
      </c>
      <c r="L485" s="68">
        <f>IFERROR(D484*K485,"")</f>
        <v>10</v>
      </c>
    </row>
    <row r="486" spans="2:12" ht="11.1" customHeight="1">
      <c r="B486" s="35" t="s">
        <v>29</v>
      </c>
      <c r="C486" s="49" t="s">
        <v>6</v>
      </c>
      <c r="D486" s="2" t="s">
        <v>35</v>
      </c>
      <c r="F486" s="24">
        <v>6</v>
      </c>
      <c r="G486" s="17" t="str">
        <f>IF(OR(D481=0,D485="　",1*MID(D488,1,2)=1,1*MID(D488,1,2)&gt;=5),"","くさび")</f>
        <v>くさび</v>
      </c>
      <c r="H486" s="29" t="str">
        <f>IF(OR(D481=0,D485="　",1*MID(D488,1,2)=1,1*MID(D488,1,2)&gt;=5),"",IF(1*MID(D485,4,1)=5,"ECF12.7","ECF15.2")&amp;"、SCM415相当")&amp;IF(OR(D481=0,D485="　",MID(D486,1,3)="ｱﾙﾐ",1*MID(D488,1,2)=1,1*MID(D488,1,2)&gt;=5),"","、無電解Niめっき")</f>
        <v>ECF12.7、SCM415相当、無電解Niめっき</v>
      </c>
      <c r="I486" s="52" t="str">
        <f>IF(OR(D481=0,D485="　",1*MID(D488,1,2)=1,1*MID(D488,1,2)&gt;=5),"","n=1")</f>
        <v>n=1</v>
      </c>
      <c r="J486" s="16" t="str">
        <f>IF(OR(D481=0,D485="　",1*MID(D488,1,2)=1,1*MID(D488,1,2)&gt;=5),"","式")</f>
        <v>式</v>
      </c>
      <c r="K486" s="32">
        <f>IF(OR(D481=0,D485="　",1*MID(D488,1,2)=1,1*MID(D488,1,2)&gt;=5),"",1)</f>
        <v>1</v>
      </c>
      <c r="L486" s="68">
        <f>IFERROR(D484*K486,"")</f>
        <v>10</v>
      </c>
    </row>
    <row r="487" spans="2:12" ht="11.1" customHeight="1">
      <c r="B487" s="35" t="s">
        <v>8</v>
      </c>
      <c r="C487" s="49" t="s">
        <v>6</v>
      </c>
      <c r="D487" s="2" t="s">
        <v>36</v>
      </c>
      <c r="F487" s="24">
        <v>7</v>
      </c>
      <c r="G487" s="17" t="str">
        <f>IF(OR(D481=0,D485="　",1*MID(D488,1,2)=1,1*MID(D488,1,2)&gt;=5),"","押え板")</f>
        <v>押え板</v>
      </c>
      <c r="H487" s="29" t="str" cm="1">
        <f t="array" ref="H487">IF(OR(D481=0,D485="　",1*MID(D488,1,2)=1,1*MID(D488,1,2)&gt;=5),"",IF(MID(D485,4,1)="5","G5"&amp;_xlfn.SWITCH(1*MID(D485,6,FIND("H",D485,6)-6),1,"01",2,"04",3,"03",4,"04",5,"07",6,"07",7,"07",8,"12",9,"12",10,"12",11,"12",12,"12"),"G6"&amp;_xlfn.SWITCH(1*MID(D485,6,FIND("H",D485,6)-6),1,"01",2,"02",3,"03",4,"04",5,"07",6,"07",7,"07",8,"12",9,"12",10,"12",11,"12",12,"12",13,"14",14,"14",15,"19",16,"19",17,"19",18,"19",19,"19"))&amp;"、SS400相当")&amp;IF(OR(D481=0,D485="　",1*MID(D488,1,2)=1,1*MID(D488,1,2)&gt;=5),"","、"&amp;_xlfn.IFS(MID(D483,1,3)="防食Ⅱ","HDZT77めっき",MID(D483,5,2)="塩害","ｱﾙﾐﾅｲｽﾞ処理",MID(D483,5,2)="酸性","重防食処理"))</f>
        <v>G503、SS400相当、HDZT77めっき</v>
      </c>
      <c r="I487" s="52" t="str">
        <f>IF(OR(D481=0,D485="　",1*MID(D488,1,2)=1,1*MID(D488,1,2)&gt;=5),"","n=1")</f>
        <v>n=1</v>
      </c>
      <c r="J487" s="16" t="str">
        <f>IF(OR(D481=0,D485="　",1*MID(D488,1,2)=1,1*MID(D488,1,2)&gt;=5),"","枚")</f>
        <v>枚</v>
      </c>
      <c r="K487" s="32">
        <f>IF(OR(D481=0,D485="　",1*MID(D488,1,2)=1,1*MID(D488,1,2)&gt;=5),"",1)</f>
        <v>1</v>
      </c>
      <c r="L487" s="68">
        <f>IFERROR(D484*K487,"")</f>
        <v>10</v>
      </c>
    </row>
    <row r="488" spans="2:12" ht="11.1" customHeight="1">
      <c r="B488" s="36" t="s">
        <v>87</v>
      </c>
      <c r="C488" s="72" t="s">
        <v>6</v>
      </c>
      <c r="D488" s="8" t="s">
        <v>42</v>
      </c>
      <c r="F488" s="24">
        <v>8</v>
      </c>
      <c r="G488" s="17" t="str">
        <f>IF(OR(D481=0,D485="　"),"",IF(OR(1*MID(D488,1,2)=1,1*MID(D488,1,2)&gt;=5,MID(D487,1,3)&lt;&gt;"のり面"),"","管付")&amp;"支圧板")</f>
        <v>管付支圧板</v>
      </c>
      <c r="H488" s="29" t="str" cm="1">
        <f t="array" ref="H488">IF(OR(D481=0,D485="　"),"","PL"&amp;IF(OR(1*MID(D488,1,2)=1,1*MID(D488,1,2)&gt;=5,MID(D487,1,3)&lt;&gt;"のり面"),"","P")&amp;IF(MID(D485,4,1)="5","5-"&amp;_xlfn.SWITCH(1*MID(D485,6,FIND("H",D485,6)-6),1,"1",2,"2",3,"3",4,"4",5,"5",6,"6",7,"7",8,"9",9,"9",10,"10",11,"11",12,"12"),"6-"&amp;_xlfn.SWITCH(1*MID(D485,6,FIND("H",D485,6)-6),1,"1",2,"2",3,"3",4,"4",5,"6",6,"6",7,"7",8,"8",9,"9",10,"10",11,"11",12,"12",13,"14",14,"14",15,"16",16,"16",17,"17",18,"18",19,"19"))&amp;"、SS400相当")&amp;IF(OR(D481=0,D485="　"),"","、"&amp;_xlfn.IFS(MID(D483,1,3)="防食Ⅱ","HDZT77めっき",MID(D483,5,2)="塩害","ｱﾙﾐﾅｲｽﾞ処理",MID(D483,5,2)="酸性","重防食処理"))</f>
        <v>PLP5-3、SS400相当、HDZT77めっき</v>
      </c>
      <c r="I488" s="52" t="str">
        <f>IF(OR(D481=0,D485="　"),"","n=1")</f>
        <v>n=1</v>
      </c>
      <c r="J488" s="16" t="str">
        <f>IF(OR(D481=0,D485="　"),"","枚")</f>
        <v>枚</v>
      </c>
      <c r="K488" s="32">
        <f>IF(OR(D481=0,D485="　"),"",1)</f>
        <v>1</v>
      </c>
      <c r="L488" s="68">
        <f>IFERROR(D484*K488,"")</f>
        <v>10</v>
      </c>
    </row>
    <row r="489" spans="2:12" ht="11.1" customHeight="1">
      <c r="B489" s="37" t="str" cm="1">
        <f t="array" ref="B489">"頭部自由長"&amp;_xlfn.IFS(MID(D487,1,2)="なし","",MID(D487,1,3)="受圧体","(受圧体)",MID(D487,1,3)="のり面","(角度台座＋受圧体)",MID(D487,1,3)="構造物","(壁面台座)",MID(D487,1,3)="土留め","(台座+腹起し)",MID(D487,1,3)="個別台","(個別台座+腹起し)")&amp;"　Lfh"</f>
        <v>頭部自由長(角度台座＋受圧体)　Lfh</v>
      </c>
      <c r="C489" s="9" t="s">
        <v>10</v>
      </c>
      <c r="D489" s="75">
        <v>0.5</v>
      </c>
      <c r="F489" s="24">
        <v>9</v>
      </c>
      <c r="G489" s="17" t="str">
        <f>IF(OR(D481=0,D485="　",1*MID(D488,1,2)=1,1*MID(D488,1,2)&gt;=5),"","止水ゴム")</f>
        <v>止水ゴム</v>
      </c>
      <c r="H489" s="29" t="str">
        <f>IF(OR(D481=0,D485="　",1*MID(D488,1,2)=1,1*MID(D488,1,2)&gt;=5),"","G"&amp;MID(D485,4,4)&amp;"、NBR45相当")</f>
        <v>G5-3H、NBR45相当</v>
      </c>
      <c r="I489" s="52" t="str">
        <f>IF(OR(D481=0,D485="　",1*MID(D488,1,2)=1,1*MID(D488,1,2)&gt;=5),"","n=1")</f>
        <v>n=1</v>
      </c>
      <c r="J489" s="16" t="str">
        <f>IF(OR(D481=0,D485="　",1*MID(D488,1,2)=1,1*MID(D488,1,2)&gt;=5),"","個")</f>
        <v>個</v>
      </c>
      <c r="K489" s="32">
        <f>IF(OR(D481=0,D485="　",1*MID(D488,1,2)=1,1*MID(D488,1,2)&gt;=5),"",1)</f>
        <v>1</v>
      </c>
      <c r="L489" s="68">
        <f>IFERROR(D484*K489,"")</f>
        <v>10</v>
      </c>
    </row>
    <row r="490" spans="2:12" ht="11.1" customHeight="1">
      <c r="B490" s="31" t="s">
        <v>11</v>
      </c>
      <c r="C490" s="10" t="s">
        <v>10</v>
      </c>
      <c r="D490" s="75">
        <v>8.5</v>
      </c>
      <c r="F490" s="24">
        <v>10</v>
      </c>
      <c r="G490" s="17" t="str" cm="1">
        <f t="array" ref="G490">IF(OR(D481=0,D485="　",1*MID(D488,1,2)=1,1*MID(D488,1,2)&gt;=5),"",_xlfn.IFS(MID(D486,1,3)="ｱﾙﾐ","頭部防錆油",MID(D486,1,3)&lt;&gt;"ｱﾙﾐ","余長キャップ"))</f>
        <v>余長キャップ</v>
      </c>
      <c r="H490" s="29" t="str" cm="1">
        <f t="array" ref="H490">_xlfn.IFS(OR(D481=0,D485="　",1*MID(D488,1,2)=1,1*MID(D488,1,2)&gt;=5),"",MID(D486,1,3)="ｱﾙﾐ","PCコートC",MID(D486,1,3)&lt;&gt;"ｱﾙﾐ","TC"&amp;MID(D485,4,1)&amp;"、高密度ポリエチレン")</f>
        <v>TC5、高密度ポリエチレン</v>
      </c>
      <c r="I490" s="52" t="str" cm="1">
        <f t="array" ref="I490">_xlfn.IFS(OR(D481=0,D485="　",1*MID(D488,1,2)=1,1*MID(D488,1,2)&gt;=5),"",MID(D486,1,3)="ｱﾙﾐ","W="&amp;IF(MID(D485,4,1)="5",_xlfn.SWITCH(1*MID(LEFT(D485, LEN(D485)-1),6,2),1,1.9,2,1.3,3,1.3,4,1.3,5,1.6,6,1.6,7,1.6,8,3.1,9,3.1,10,3.1,11,3.1,12,3.1),"G6"&amp;_xlfn.SWITCH(1*MID(LEFT(D485, LEN(D485)-1),6,2),1,1.8,2,1.3,3,1.8,4,1.8,5,3.3,6,3.3,7,3.3,8,9.9,9,9.9,10,9.9,11,9.9,12,9.9,13,9.9,14,9.9)),MID(D486,1,3)&lt;&gt;"ｱﾙﾐ","n=1")</f>
        <v>n=1</v>
      </c>
      <c r="J490" s="16" t="str" cm="1">
        <f t="array" ref="J490">_xlfn.IFS(OR(D481=0,D485="　",1*MID(D488,1,2)=1,1*MID(D488,1,2)&gt;=5),"",MID(D486,1,3)="ｱﾙﾐ","kg",MID(D486,1,3)&lt;&gt;"ｱﾙﾐ","式")</f>
        <v>式</v>
      </c>
      <c r="K490" s="80" cm="1">
        <f t="array" ref="K490">_xlfn.IFS(OR(D481=0,D485="　",1*MID(D488,1,2)=1,1*MID(D488,1,2)&gt;=5),"",MID(D486,1,3)="ｱﾙﾐ",_xlfn.SWITCH(MID(D485,4,1),"5",_xlfn.SWITCH(1*MID(D485,6,FIND("H",D485,6)-6),1,1.9,2,1.3,3,1.3,4,1.3,5,1.6,6,1.6,7,1.6,8,3.1,9,3.1,10,3.1,11,3.1,12,3.1),"6",_xlfn.SWITCH(1*MID(D485,6,FIND("H",D485,6)-6),1,1.8,2,1.3,3,1.8,4,1.8,5,3.3,6,3.3,7,3.3,8,9.9,9,9.9,10,9.9,11,9.9,12,9.9,13,9.9,14,9.9)),MID(D486,1,3)&lt;&gt;"ｱﾙﾐ",1)</f>
        <v>1</v>
      </c>
      <c r="L490" s="68">
        <f>IFERROR(D484*K490,"")</f>
        <v>10</v>
      </c>
    </row>
    <row r="491" spans="2:12" ht="11.1" customHeight="1">
      <c r="B491" s="39" t="s">
        <v>18</v>
      </c>
      <c r="C491" s="40" t="s">
        <v>10</v>
      </c>
      <c r="D491" s="75">
        <v>7</v>
      </c>
      <c r="F491" s="24">
        <v>11</v>
      </c>
      <c r="G491" s="17" t="str">
        <f>IF(OR(D481=0,D485="　",1*MID(D488,1,2)=1,1*MID(D488,1,2)&gt;=5),"","配列スペーサ")</f>
        <v>配列スペーサ</v>
      </c>
      <c r="H491" s="29" t="str">
        <f>IF(OR(D481=0,D485="　",1*MID(D488,1,2)=1,1*MID(D488,1,2)&gt;=5),"",IF(MID(D485,4,1)="5","PS5-"&amp;_xlfn.SWITCH(1*MID(D485,6,FIND("H",D485,6)-6),1,"7",2,"2",3,"3",4,"4",5,"7",6,"7",7,"7",8,"12",9,"12",10,"12",11,"12",12,"12"),"PS6-"&amp;_xlfn.SWITCH(1*MID(D485,6,FIND("H",D485,6)-6),1,"7",2,"2",3,"3",4,"4",5,"7",6,"7",7,"7",8,"12",9,"12",10,"12",11,"12",12,"12",13,"14",14,"14",15,"19",16,"19",17,"19",18,"19",19,"19"))&amp;"、ポリエチレン")</f>
        <v>PS5-3、ポリエチレン</v>
      </c>
      <c r="I491" s="52" t="str">
        <f>IF(OR(D481=0,D485="　",1*MID(D488,1,2)=1,1*MID(D488,1,2)&gt;=5),"","n=2")</f>
        <v>n=2</v>
      </c>
      <c r="J491" s="16" t="str">
        <f>IF(OR(D481=0,D485="　",1*MID(D488,1,2)=1,1*MID(D488,1,2)&gt;=5),"","個")</f>
        <v>個</v>
      </c>
      <c r="K491" s="32">
        <f>IF(OR(D481=0,D485="　",1*MID(D488,1,2)=1,1*MID(D488,1,2)&gt;=5),"",2)</f>
        <v>2</v>
      </c>
      <c r="L491" s="68">
        <f>IFERROR(D484*K491,"")</f>
        <v>20</v>
      </c>
    </row>
    <row r="492" spans="2:12" ht="11.1" customHeight="1">
      <c r="B492" s="36" t="s">
        <v>17</v>
      </c>
      <c r="C492" s="11" t="s">
        <v>16</v>
      </c>
      <c r="D492" s="54">
        <v>90</v>
      </c>
      <c r="F492" s="24">
        <v>12</v>
      </c>
      <c r="G492" s="17" t="str">
        <f>IF(OR(D481=0,D485="　"),"","スペーサ")</f>
        <v>スペーサ</v>
      </c>
      <c r="H492" s="29" t="str" cm="1">
        <f t="array" ref="H492">IF(OR(D481=0,D485="　"),"",IF(MID(D485,4,1)="5","S5-"&amp;_xlfn.IFS(1*MID(D485,6,FIND("H",D485,6)-6)&lt;6,"5",1*MID(D485,6,FIND("H",D485,6)-6)&lt;9,"8",1*MID(D485,6,FIND("H",D485,6)-6)&gt;8,"12"),"S6-"&amp;_xlfn.IFS(1*MID(D485,6,FIND("H",D485,6)-6)&lt;4,"3",1*MID(D485,6,FIND("H",D485,6)-6)&lt;7,"6",1*MID(D485,6,FIND("H",D485,6)-6)&lt;10,"9",1*MID(D485,6,FIND("H",D485,6)-6)&lt;13,"12",1*MID(D485,6,FIND("H",D485,6)-6)&lt;15,"14",1*MID(D485,6,FIND("H",D485,6)-6)&lt;20,"19"))&amp;"、ポリプロピレン")</f>
        <v>S5-5、ポリプロピレン</v>
      </c>
      <c r="I492" s="58" t="str">
        <f>IF(OR(D481=0,D485="　"),"","n=mround(アンカー体長－0.4)÷@1.0m, 1.0)")</f>
        <v>n=mround(アンカー体長－0.4)÷@1.0m, 1.0)</v>
      </c>
      <c r="J492" s="16" t="str">
        <f>IF(OR(D481=0,D485="　"),"","個")</f>
        <v>個</v>
      </c>
      <c r="K492" s="38">
        <f>IF(OR(D481=0,D485="　"),"",MROUND((D491-0.4)/1,1))</f>
        <v>7</v>
      </c>
      <c r="L492" s="67">
        <f>IFERROR(D484*K492,"")</f>
        <v>70</v>
      </c>
    </row>
    <row r="493" spans="2:12" ht="11.1" customHeight="1">
      <c r="B493" s="41" t="s">
        <v>37</v>
      </c>
      <c r="C493" s="5" t="s">
        <v>16</v>
      </c>
      <c r="D493" s="66" cm="1">
        <f t="array" ref="D493">IF(OR(D481=0,D485="　"),"",_xlfn.SWITCH(1*MID(D488,1,2),0,_xlfn.SWITCH(1*MID(D485,4,1),5,_xlfn.SWITCH(1*MID(LEFT(D485, LEN(D485)-1),6,2),1,90,2,90,3,90,4,90,5,90,6,115,7,115,8,115,9,135,10,135,11,135,12,135),6,_xlfn.SWITCH(1*MID(LEFT(D485, LEN(D485)-1),6,2),1,90,2,90,3,90,4,115,5,115,6,115,7,135,8,135,9,135,10,146,11,146,12,146,13,165,14,165)),1,_xlfn.SWITCH(1*MID(D485,4,1),5,_xlfn.SWITCH(1*MID(LEFT(D485, LEN(D485)-1),6,2),1,90,2,90,3,90,4,90,5,115,6,115,7,135,8,135,9,135,10,135,11,165,12,165),6,_xlfn.SWITCH(1*MID(LEFT(D485, LEN(D485)-1),6,2),1,90,2,90,3,115,4,115,5,135,6,135,7,135,8,135,9,135,10,165,11,165,12,165,13,165,14,165)),2,_xlfn.SWITCH(1*MID(D485,4,1),5,_xlfn.SWITCH(1*MID(LEFT(D485, LEN(D485)-1),6,2),1,90,2,90,3,115,4,115,5,115,6,115,7,135,8,135,9,146,10,146,11,146,12,146),6,_xlfn.SWITCH(1*MID(LEFT(D485, LEN(D485)-1),6,2),1,90,2,90,3,115,4,115,5,135,6,135,7,146,8,146,9,146,10,165,11,165,12,165,13,216,14,216)),3,_xlfn.SWITCH(1*MID(D485,4,1),5,_xlfn.SWITCH(1*MID(LEFT(D485, LEN(D485)-1),6,2),1,115,2,115,3,115,4,115,5,115,6,135,7,135,8,135,9,146,10,146,11,146,12,146),6,_xlfn.SWITCH(1*MID(LEFT(D485, LEN(D485)-1),6,2),1,115,2,115,3,115,4,135,5,135,6,135,7,146,8,146,9,146,10,165,11,165,12,165,13,216,14,216)),4,_xlfn.SWITCH(1*MID(D485,4,1),5,_xlfn.SWITCH(1*MID(LEFT(D485, LEN(D485)-1),6,2),1,115,2,115,3,115,4,115,5,115,6,135,7,135,8,135,9,146,10,146,11,146,12,146),6,_xlfn.SWITCH(1*MID(LEFT(D485, LEN(D485)-1),6,2),1,115,2,115,3,115,4,135,5,135,6,135,7,146,8,146,9,146,10,165,11,165,12,165,13,216,14,216)),5,_xlfn.SWITCH(1*MID(D485,4,1),5,_xlfn.SWITCH(1*MID(LEFT(D485, LEN(D485)-1),6,2),1,90,2,90,3,115,4,115,5,115,6,115,7,135,8,135,9,165,10,165,11,165,12,165),6,_xlfn.SWITCH(1*MID(LEFT(D485, LEN(D485)-1),6,2),1,90,2,90,3,115,4,115,5,135,6,135,7,165,8,165,9,165,10,165,11,165,12,165,13,216,14,216)),6,_xlfn.SWITCH(1*MID(D485,4,1),5,_xlfn.SWITCH(1*MID(LEFT(D485, LEN(D485)-1),6,2),1,115,2,115,3,115,4,115,5,115,6,135,7,135,8,135,9,165,10,165,11,165,12,165),6,_xlfn.SWITCH(1*MID(LEFT(D485, LEN(D485)-1),6,2),1,115,2,115,3,115,4,135,5,135,6,135,7,165,8,165,9,165,10,165,11,165,12,165,13,216,14,216)),7,_xlfn.SWITCH(1*MID(D485,4,1),5,_xlfn.SWITCH(1*MID(LEFT(D485, LEN(D485)-1),6,2),1,115,2,115,3,115,4,115,5,115,6,135,7,135,8,135,9,165,10,165,11,165,12,165),6,_xlfn.SWITCH(1*MID(LEFT(D485, LEN(D485)-1),6,2),1,115,2,115,3,115,4,135,5,135,6,135,7,165,8,165,9,165,10,165,11,165,12,165,13,216,14,216))))</f>
        <v>90</v>
      </c>
      <c r="F493" s="24">
        <v>13</v>
      </c>
      <c r="G493" s="17" t="str">
        <f>IF(OR(D481=0,D485="　"),"","ﾊﾟｲﾛｯﾄｷｬｯﾌﾟ")</f>
        <v>ﾊﾟｲﾛｯﾄｷｬｯﾌﾟ</v>
      </c>
      <c r="H493" s="29" t="str" cm="1">
        <f t="array" ref="H493">IF(OR(D481=0,D485="　"),"",IF(MID(D485,4,1)="5","PC5-"&amp;_xlfn.IFS(1*MID(D485,6,FIND("H",D485,6)-6)&lt;5,"4",1*MID(D485,6,FIND("H",D485,6)-6)&lt;8,"7",1*MID(D485,6,FIND("H",D485,6)-6)&lt;10,"9",1*MID(D485,6,FIND("H",D485,6)-6)&gt;9,"12"),"PC6-"&amp;_xlfn.IFS(1*MID(D485,6,FIND("H",D485,6)-6)&lt;4,"3",1*MID(D485,6,FIND("H",D485,6)-6)&lt;8,"7",1*MID(D485,6,FIND("H",D485,6)-6)&lt;13,"12",1*MID(D485,6,FIND("H",D485,6)-6)&lt;15,"14",1*MID(D485,6,FIND("H",D485,6)-6)&lt;20,"19"))&amp;"、ポリプロピレン")</f>
        <v>PC5-4、ポリプロピレン</v>
      </c>
      <c r="I493" s="52" t="str">
        <f>IF(OR(D481=0,D485="　"),"","n=1")</f>
        <v>n=1</v>
      </c>
      <c r="J493" s="16" t="str">
        <f>IF(OR(D481=0,D485="　"),"","個")</f>
        <v>個</v>
      </c>
      <c r="K493" s="32">
        <f>IF(OR(D481=0,D485="　"),"",1)</f>
        <v>1</v>
      </c>
      <c r="L493" s="68">
        <f>IFERROR(D484*K493,"")</f>
        <v>10</v>
      </c>
    </row>
    <row r="494" spans="2:12" ht="11.1" customHeight="1">
      <c r="B494" s="43" t="s">
        <v>30</v>
      </c>
      <c r="C494" s="44" t="s">
        <v>31</v>
      </c>
      <c r="D494" s="59" t="str">
        <f>IF(OR(D481=0,D485="　"),"",IF(D492=D493,"OK","CHECK"))</f>
        <v>OK</v>
      </c>
      <c r="F494" s="24">
        <v>14</v>
      </c>
      <c r="G494" s="17" t="str">
        <f>IF(OR(D481=0,D485="　"),"","結束バンド")</f>
        <v>結束バンド</v>
      </c>
      <c r="H494" s="29" t="str">
        <f>IF(OR(D481=0,D485="　"),"","66ナイロン")</f>
        <v>66ナイロン</v>
      </c>
      <c r="I494" s="58" t="str">
        <f>IF(OR(D481=0,D485="　"),"","n=スペーサ数×2")</f>
        <v>n=スペーサ数×2</v>
      </c>
      <c r="J494" s="16" t="str">
        <f>IF(OR(D481=0,D485="　"),"","本")</f>
        <v>本</v>
      </c>
      <c r="K494" s="38">
        <f>IF(OR(D481=0,D485="　"),"",2*K492)</f>
        <v>14</v>
      </c>
      <c r="L494" s="67">
        <f>IFERROR(D484*K494,"")</f>
        <v>140</v>
      </c>
    </row>
    <row r="495" spans="2:12" ht="11.1" customHeight="1">
      <c r="B495" s="45" t="s">
        <v>12</v>
      </c>
      <c r="C495" s="9" t="s">
        <v>10</v>
      </c>
      <c r="D495" s="60">
        <f>IF(OR(D481=0,D485="　"),"──",SUM(D489:D490))</f>
        <v>9</v>
      </c>
      <c r="F495" s="24">
        <v>15</v>
      </c>
      <c r="G495" s="17" t="str">
        <f>IF(OR(D481=0,D485="　"),"","結束テープ")</f>
        <v>結束テープ</v>
      </c>
      <c r="H495" s="29" t="str">
        <f>IF(OR(D481=0,D485="　"),"","フィラメントテープ")</f>
        <v>フィラメントテープ</v>
      </c>
      <c r="I495" s="58" t="str">
        <f>IF(OR(D481=0,D485="　"),"","L=(自由長+緊張部長)÷@1.0m×テープ係数"&amp;IF(MID(D485,4,1)="5",_xlfn.IFS(1*MID(LEFT(D485, LEN(D485)-1),6,2)&lt;4,"0.8",1*MID(LEFT(D485, LEN(D485)-1),6,2)&lt;7,"1.0",1*MID(LEFT(D485, LEN(D485)-1),6,2)&lt;10,"1.2",1*MID(LEFT(D485, LEN(D485)-1),6,2)&lt;13,"1.4"),_xlfn.IFS(1*MID(LEFT(D485, LEN(D485)-1),6,2)&lt;4,"1.0",1*MID(LEFT(D485, LEN(D485)-1),6,2)&lt;7,"1.2",1*MID(LEFT(D485, LEN(D485)-1),6,2)&lt;10,"1.4",1*MID(LEFT(D485, LEN(D485)-1),6,2)&lt;15,"1.8")))</f>
        <v>L=(自由長+緊張部長)÷@1.0m×テープ係数0.8</v>
      </c>
      <c r="J495" s="16" t="str">
        <f>IF(OR(D481=0,D485="　"),"","m")</f>
        <v>m</v>
      </c>
      <c r="K495" s="42" cm="1">
        <f t="array" ref="K495">IF(OR(D481=0,D485="　"),"",MROUND((SUM(D495,D496))/1*IF(MID(D485,4,1)="5",_xlfn.SWITCH(1*MID(D485,6,FIND("H",D485,6)-6),1,0.8,2,0.8,3,0.8,4,1,5,1,6,1,7,1.2,8,1.2,9,1.2,10,1.4,11,1.4,12,1.4),_xlfn.SWITCH(1*MID(D485,6,FIND("H",D485,6)-6),1,1,2,1,3,1,4,1.2,5,1.2,6,1.2,7,1.4,8,1.4,9,1.4,10,1.8,11,1.8,12,1.8,13,1.8,14,1.8,15,2.5,16,2.5,17,2.5,18,2.5,19,2.5)),0.1))</f>
        <v>8</v>
      </c>
      <c r="L495" s="69">
        <f>IFERROR(D484*K495,"")</f>
        <v>80</v>
      </c>
    </row>
    <row r="496" spans="2:12" ht="11.1" customHeight="1">
      <c r="B496" s="47" t="s">
        <v>13</v>
      </c>
      <c r="C496" s="10" t="s">
        <v>10</v>
      </c>
      <c r="D496" s="61" cm="1">
        <f t="array" ref="D496">IF(OR(D481=0,D485="　"),"──",IF(MID(D485,4,1)="5",_xlfn.IFS(1*MID(LEFT(D485,LEN(D485)-1),6,2)&lt;8,1,1*MID(LEFT(D485,LEN(D485)-1),6,2)&lt;13,1.2),_xlfn.IFS(1*MID(LEFT(D485,LEN(D485)-1),6,2)&lt;6,1,1*MID(LEFT(D485,LEN(D485)-1),6,2)&lt;15,1.2)))</f>
        <v>1</v>
      </c>
      <c r="F496" s="24">
        <v>16</v>
      </c>
      <c r="G496" s="17" t="str">
        <f>IF(OR(D481=0,D485="　",1*MID(D488,1,2)=1,1*MID(D488,1,2)=5),"","注入ホース")</f>
        <v>注入ホース</v>
      </c>
      <c r="H496" s="29" t="str">
        <f>IF(OR(D481=0,D485="　",1*MID(D488,1,2)=1,1*MID(D488,1,2)=5),"","φ16/20、高密度ポリエチレン")</f>
        <v>φ16/20、高密度ポリエチレン</v>
      </c>
      <c r="I496" s="46" t="str">
        <f>IF(OR(D481=0,D485="　",1*MID(D488,1,2)=1,1*MID(D488,1,2)=5),"","L=テンドン長")</f>
        <v>L=テンドン長</v>
      </c>
      <c r="J496" s="16" t="str">
        <f>IF(OR(D481=0,D485="　",1*MID(D488,1,2)=1,1*MID(D488,1,2)=5),"","m")</f>
        <v>m</v>
      </c>
      <c r="K496" s="30">
        <f>IF(OR(D481=0,D485="　",1*MID(D488,1,2)=1,1*MID(D488,1,2)=5),"",MROUND(D498,0.1))</f>
        <v>17.2</v>
      </c>
      <c r="L496" s="67">
        <f>IFERROR(D484*K496,"")</f>
        <v>172</v>
      </c>
    </row>
    <row r="497" spans="2:12" ht="11.1" customHeight="1">
      <c r="B497" s="48" t="s">
        <v>19</v>
      </c>
      <c r="C497" s="10" t="s">
        <v>14</v>
      </c>
      <c r="D497" s="62">
        <f>IF(OR(D481=0,D485="　"),"──",0.2)</f>
        <v>0.2</v>
      </c>
      <c r="F497" s="24">
        <v>17</v>
      </c>
      <c r="G497" s="17" t="str" cm="1">
        <f t="array" ref="G497">_xlfn.IFS(OR(D481=0,D485="　",MID(D487,1,2)="なし",MID(D487,1,3)="受圧体",1*MID(D488,1,2)=1,1*MID(D488,1,2)&gt;=5),"",MID(D487,1,3)="のり面","のり面角度台座",MID(D487,1,3)="構造物","構造物壁面台座",MID(D487,1,3)="土留め","土留め台座",MID(D487,1,3)="個別台","個別台座")</f>
        <v>のり面角度台座</v>
      </c>
      <c r="H497" s="46" t="str" cm="1">
        <f t="array" ref="H497">IF(OR(D481=0,D485="　",G497=""),"",_xlfn.IFS(MID(D487,1,3)="のり面",IF(1*MID(D485,4,1)=5,_xlfn.IFS(1*MID(D485,6,FIND("H",D485,6)-6)&lt;5,"ST140",1*MID(D485,6,FIND("H",D485,6)-6)&lt;8,"ST170",1*MID(D485,6,FIND("H",D485,6)-6)&lt;13,"ST220"),_xlfn.IFS(1*MID(D485,6,FIND("H",D485,6)-6)&lt;4,"ST140",1*MID(D485,6,FIND("H",D485,6)-6)&lt;5,"ST170",1*MID(D485,6,FIND("H",D485,6)-6)&lt;8,"ST220",1*MID(D485,6,FIND("H",D485,6)-6)&lt;20,"非該当"))&amp;"、FCD450相当",OR(MID(D487,1,3)="構造物",MID(D487,1,3)="土留め",MID(D487,1,3)="個別台"),D485&amp;"用"&amp;_xlfn.IFS(MID(D487,1,3)="構造物","",MID(D487,1,3)="土留め",IF(1*MID(D485,4,1)=5,_xlfn.SWITCH(1*MID(D485,6,FIND("H",D485,6)-6),1,"DA110",2,"DA220",3,"DA330",4,"DA440",5,"DA550",6,"DA660",7,"DA770",8,"DA880",9,"DA990",10,"DA1100",11,"DA1210",12,"DA1320"),_xlfn.SWITCH(1*MID(D485,6,FIND("H",D485,6)-6),1,"DA220",2,"DA330",3,"DA550",4,"DA660",5,"DA880",6,"DA990",7,"DA1100",8,"DA1320",9,"DA1410",10,"DA1570",11,"DA1730",12,"DA1880",13,"DA2040",14,"DA2200")),MID(D487,1,3)="個別台",D500)))&amp;IF(OR(D481=0,D485="　",G497=""),"","、"&amp;_xlfn.IFS(MID(D483,1,3)="防食Ⅱ","HDZT77めっき",MID(D483,5,2)="塩害","ｱﾙﾐﾅｲｽﾞ処理",MID(D483,5,2)="酸性","重防食処理"))</f>
        <v>ST140、FCD450相当、HDZT77めっき</v>
      </c>
      <c r="I497" s="52" t="str">
        <f>IF(OR(D481=0,D485="　",G497=""),"","n=1")</f>
        <v>n=1</v>
      </c>
      <c r="J497" s="16" t="str">
        <f>IF(OR(D481=0,D485="　",G497=""),"","台")</f>
        <v>台</v>
      </c>
      <c r="K497" s="32">
        <f>IF(OR(D481=0,D485="　",G497=""),"",1)</f>
        <v>1</v>
      </c>
      <c r="L497" s="68">
        <f>IFERROR(D484*K497,"")</f>
        <v>10</v>
      </c>
    </row>
    <row r="498" spans="2:12" ht="11.1" customHeight="1">
      <c r="B498" s="50" t="s">
        <v>20</v>
      </c>
      <c r="C498" s="10" t="s">
        <v>10</v>
      </c>
      <c r="D498" s="63">
        <f>IF(OR(D481=0,D485="　"),"──",SUM(D491,D495:D497))</f>
        <v>17.2</v>
      </c>
      <c r="F498" s="24">
        <v>18</v>
      </c>
      <c r="G498" s="17" t="str">
        <f>IF(OR(D481=0,D485="　",MID(D487,1,3)&lt;&gt;"のり面",1*MID(D488,1,2)=1,1*MID(D488,1,2)&gt;=5),"","補剛板")</f>
        <v>補剛板</v>
      </c>
      <c r="H498" s="46" t="str" cm="1">
        <f t="array" ref="H498">IF(OR(D481=0,D485="　",G498=""),"",IF(MID(D485,4,1)="5","□"&amp;_xlfn.SWITCH(1*MID(D485,6,FIND("H",D485,6)-6),1,"210φ131t12",2,"210φ131t12",3,"240φ131t12",4,"270φ131t12",5,"280φ143t12",6,"310φ143t16",7,"350φ143t19",8,"350φ180t19",9,"350φ180t19",10,"350φ180t19",11,"350φ180t22",12,"350φ180t22"),"□"&amp;_xlfn.SWITCH(1*MID(D485,6,FIND("H",D485,6)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481=0,D485="　",G498=""),"","、"&amp;_xlfn.IFS(MID(D483,1,3)="防食Ⅱ","HDZT77めっき",MID(D483,5,2)="塩害","ｱﾙﾐﾅｲｽﾞ処理",MID(D483,5,2)="酸性","重防食処理"))</f>
        <v>□240φ131t12、SS400相当、HDZT77めっき</v>
      </c>
      <c r="I498" s="52" t="str">
        <f>IF(OR(D481=0,D485="　",G498=""),"","n=1")</f>
        <v>n=1</v>
      </c>
      <c r="J498" s="16" t="str">
        <f>IF(OR(D481=0,D485="　",G498=""),"","枚")</f>
        <v>枚</v>
      </c>
      <c r="K498" s="32">
        <f>IF(OR(D481=0,D485="　",G498=""),"",1)</f>
        <v>1</v>
      </c>
      <c r="L498" s="68">
        <f>IFERROR(D484*K498,"")</f>
        <v>10</v>
      </c>
    </row>
    <row r="499" spans="2:12" ht="11.1" customHeight="1">
      <c r="B499" s="51" t="s">
        <v>15</v>
      </c>
      <c r="C499" s="12" t="s">
        <v>10</v>
      </c>
      <c r="D499" s="64">
        <f>IF(OR(D481=0,D485="　"),"──",0.25)</f>
        <v>0.25</v>
      </c>
      <c r="F499" s="24">
        <v>19</v>
      </c>
      <c r="G499" s="17" t="str" cm="1">
        <f t="array" ref="G499">_xlfn.IFS(OR(D481=0,D485="　",MID(D486,1,3)="ｱﾙﾐ",1*MID(D488,1,2)=1,1*MID(D488,1,2)&gt;=5),"",MID(D486,1,3)&lt;&gt;"ｱﾙﾐ","テンドン補修用塗料")</f>
        <v>テンドン補修用塗料</v>
      </c>
      <c r="H499" s="38" t="str" cm="1">
        <f t="array" ref="H499">_xlfn.IFS(OR(D481=0,D485="　",MID(D486,1,3)="ｱﾙﾐ",1*MID(D488,1,2)=1,1*MID(D488,1,2)&gt;=5),"",MID(D486,1,3)&lt;&gt;"ｱﾙﾐ","エポキシ樹脂")</f>
        <v>エポキシ樹脂</v>
      </c>
      <c r="I499" s="52" t="str" cm="1">
        <f t="array" ref="I499">_xlfn.IFS(OR(D481=0,D485="　",MID(D486,1,3)="ｱﾙﾐ",1*MID(D488,1,2)=1,1*MID(D488,1,2)&gt;=5),"",MID(D486,1,3)&lt;&gt;"ｱﾙﾐ","W=PC鋼より線本数×"&amp;IF(MID(D485,4,1)="5","0.28","0.4"))</f>
        <v>W=PC鋼より線本数×0.28</v>
      </c>
      <c r="J499" s="16" t="str" cm="1">
        <f t="array" ref="J499">_xlfn.IFS(OR(D481=0,D485="　",MID(D486,1,3)="ｱﾙﾐ",1*MID(D488,1,2)=1,1*MID(D488,1,2)&gt;=5),"",MID(D486,1,3)&lt;&gt;"ｱﾙﾐ","g")</f>
        <v>g</v>
      </c>
      <c r="K499" s="77" cm="1">
        <f t="array" ref="K499">_xlfn.IFS(OR(D481=0,D485="　",MID(D486,1,3)="ｱﾙﾐ",1*MID(D488,1,2)=1,1*MID(D488,1,2)&gt;=5),"",MID(D486,1,3)&lt;&gt;"ｱﾙﾐ",MID(D485,6,FIND("H",D485,6)-6)*IF(MID(D485,4,1)="5",0.28,0.4))</f>
        <v>0.84000000000000008</v>
      </c>
      <c r="L499" s="78">
        <f>IFERROR(D484*K499,"")</f>
        <v>8.4</v>
      </c>
    </row>
    <row r="500" spans="2:12" ht="11.1" customHeight="1">
      <c r="B500" s="65" t="s">
        <v>32</v>
      </c>
      <c r="C500" s="3" t="s">
        <v>33</v>
      </c>
      <c r="D500" s="76"/>
      <c r="F500" s="24">
        <v>20</v>
      </c>
      <c r="G500" s="17" t="str" cm="1">
        <f t="array" ref="G500">_xlfn.IFS(OR(D481=0,D485="　",MID(D486,1,3)="ｱﾙﾐ",1*MID(D488,1,2)=1,1*MID(D488,1,2)&gt;=5),"",MID(D486,1,3)&lt;&gt;"ｱﾙﾐ","長期防錆スプレー")</f>
        <v>長期防錆スプレー</v>
      </c>
      <c r="H500" s="38" t="str" cm="1">
        <f t="array" ref="H500">_xlfn.IFS(OR(D481=0,D485="　",MID(D486,1,3)="ｱﾙﾐ",1*MID(D488,1,2)=1,1*MID(D488,1,2)&gt;=5),"",MID(D486,1,3)&lt;&gt;"ｱﾙﾐ","防錆オイル")</f>
        <v>防錆オイル</v>
      </c>
      <c r="I500" s="52" t="str" cm="1">
        <f t="array" ref="I500">_xlfn.IFS(OR(D481=0,D485="　",MID(D486,1,3)="ｱﾙﾐ",1*MID(D488,1,2)=1,1*MID(D488,1,2)&gt;=5),"",MID(D486,1,3)&lt;&gt;"ｱﾙﾐ","n=0.01×(PC鋼より線本数+"&amp;IF(MID(D485,4,1)="5","6","12")&amp;")")</f>
        <v>n=0.01×(PC鋼より線本数+6)</v>
      </c>
      <c r="J500" s="16" t="str" cm="1">
        <f t="array" ref="J500">_xlfn.IFS(OR(D481=0,D485="　",MID(D486,1,3)="ｱﾙﾐ",1*MID(D488,1,2)=1,1*MID(D488,1,2)&gt;=5),"",MID(D486,1,3)&lt;&gt;"ｱﾙﾐ","缶")</f>
        <v>缶</v>
      </c>
      <c r="K500" s="77" cm="1">
        <f t="array" ref="K500">_xlfn.IFS(OR(D481=0,D485="　",MID(D486,1,3)="ｱﾙﾐ",1*MID(D488,1,2)=1,1*MID(D488,1,2)&gt;=5),"",MID(D486,1,3)&lt;&gt;"ｱﾙﾐ",0.01*(IF(MID(D485,4,1)="5",6,12)+MID(LEFT(D485,LEN(D485)-1),6,2)))</f>
        <v>0.09</v>
      </c>
      <c r="L500" s="78">
        <f>IFERROR(D484*K500,"")</f>
        <v>0.89999999999999991</v>
      </c>
    </row>
    <row r="501" spans="2:12" ht="11.1" customHeight="1">
      <c r="F501" s="24">
        <v>21</v>
      </c>
      <c r="G501" s="17" t="str">
        <f>IF(OR(D481=0,D485="　",1*MID(D488,1,2)&lt;=1,1*MID(D488,1,2)=3,,1*MID(D488,1,2)=6),"","ﾌﾘｰﾊﾟｯｶｰ注入ﾎｰｽ")</f>
        <v/>
      </c>
      <c r="H501" s="29" t="str">
        <f>IF(OR(D481=0,D485="　",1*MID(D488,1,2)&lt;=1,1*MID(D488,1,2)=3,,1*MID(D488,1,2)=6),"","φ16/20、ポリエチレン")</f>
        <v/>
      </c>
      <c r="I501" s="29" t="str">
        <f>IF(OR(D481=0,D485="　",1*MID(D488,1,2)&lt;=1,1*MID(D488,1,2)=3,,1*MID(D488,1,2)=6),"","L=自由長+緊張部長")</f>
        <v/>
      </c>
      <c r="J501" s="16" t="str">
        <f>IF(OR(D481=0,D485="　",1*MID(D488,1,2)&lt;=1,1*MID(D488,1,2)=3,,1*MID(D488,1,2)=6),"","m")</f>
        <v/>
      </c>
      <c r="K501" s="30" t="str">
        <f>IF(OR(D481=0,D485="　",1*MID(D488,1,2)&lt;=1,1*MID(D488,1,2)=3,,1*MID(D488,1,2)=6),"",D495+D496)</f>
        <v/>
      </c>
      <c r="L501" s="67" t="str">
        <f>IFERROR(D484*K501,"")</f>
        <v/>
      </c>
    </row>
    <row r="502" spans="2:12" ht="11.1" customHeight="1">
      <c r="F502" s="24">
        <v>22</v>
      </c>
      <c r="G502" s="17" t="str">
        <f>IF(OR(D481=0,D485="　",1*MID(D488,1,2)&lt;=1,1*MID(D488,1,2)=3,,1*MID(D488,1,2)=6),"","フリーパッカー")</f>
        <v/>
      </c>
      <c r="H502" s="52" t="str" cm="1">
        <f t="array" ref="H502">IF(OR(D481=0,D485="　",1*MID(D488,1,2)&lt;=1,1*MID(D488,1,2)=3,1*MID(D488,1,2)=6),"",_xlfn.SWITCH(D492,90,"PA-170",115,"PA-200",135,"PA-240",146,"PA-290",165,"PA-350",216,"PA-420")&amp;"、織布")</f>
        <v/>
      </c>
      <c r="I502" s="52" t="str">
        <f>IF(OR(D481=0,D485="　",1*MID(D488,1,2)&lt;=1,1*MID(D488,1,2)=3,1*MID(D488,1,2)=6),"","L=自由長+0.5")</f>
        <v/>
      </c>
      <c r="J502" s="16" t="str">
        <f>IF(OR(D481=0,D485="　",1*MID(D488,1,2)&lt;=1,1*MID(D488,1,2)=3,,1*MID(D488,1,2)=6),"","m")</f>
        <v/>
      </c>
      <c r="K502" s="30" t="str">
        <f>IF(OR(D481=0,D485="　",1*MID(D488,1,2)&lt;=1,1*MID(D488,1,2)=3,,1*MID(D488,1,2)=6),"",D495+0.5)</f>
        <v/>
      </c>
      <c r="L502" s="69" t="str">
        <f>IFERROR(D484*K502,"")</f>
        <v/>
      </c>
    </row>
    <row r="503" spans="2:12" ht="11.1" customHeight="1">
      <c r="F503" s="24">
        <v>23</v>
      </c>
      <c r="G503" s="17" t="str">
        <f>IF(OR(D481=0,D485="　",1*MID(D488,1,2)&lt;=1,1*MID(D488,1,2)=3,,1*MID(D488,1,2)=6),"","ﾌﾘｰﾊﾟｯｶｰ取付加工")</f>
        <v/>
      </c>
      <c r="H503" s="29" t="str">
        <f>IF(OR(D481=0,D485="　",1*MID(D488,1,2)&lt;=1,1*MID(D488,1,2)=3,,1*MID(D488,1,2)=6),"","材工")</f>
        <v/>
      </c>
      <c r="I503" s="29" t="str">
        <f>IF(OR(D481=0,D485="　",1*MID(D488,1,2)&lt;=1,1*MID(D488,1,2)=3,,1*MID(D488,1,2)=6),"","n=1")</f>
        <v/>
      </c>
      <c r="J503" s="16" t="str">
        <f>IF(OR(D481=0,D485="　",1*MID(D488,1,2)&lt;=1,1*MID(D488,1,2)=3,,1*MID(D488,1,2)=6),"","式")</f>
        <v/>
      </c>
      <c r="K503" s="32" t="str">
        <f>IF(OR(D481=0,D485="　",1*MID(D488,1,2)&lt;=1,1*MID(D488,1,2)=3,,1*MID(D488,1,2)=6),"",1)</f>
        <v/>
      </c>
      <c r="L503" s="70" t="str">
        <f>IFERROR(D484*K503,"")</f>
        <v/>
      </c>
    </row>
    <row r="504" spans="2:12" ht="11.1" customHeight="1">
      <c r="F504" s="24">
        <v>24</v>
      </c>
      <c r="G504" s="17" t="str">
        <f>IF(OR(D481=0,D485="　",1*MID(D488,1,2)&lt;=2,1*MID(D488,1,2)=5),"","フリクションパッカー")</f>
        <v/>
      </c>
      <c r="H504" s="38" t="str" cm="1">
        <f t="array" ref="H504">IF(OR(D481=0,D485="　",1*MID(D488,1,2)&lt;=2,1*MID(D488,1,2)=5),"",_xlfn.SWITCH(D492,90,"FP125",115,"FP125",135,"FP150",146,"FP175",165,"FP200",216,"FP235")&amp;"、パイレン布")</f>
        <v/>
      </c>
      <c r="I504" s="38" t="str">
        <f>IF(OR(D481=0,D485="　",1*MID(D488,1,2)&lt;=2,1*MID(D488,1,2)=5),"","L=アンカー体長+0.5")</f>
        <v/>
      </c>
      <c r="J504" s="16" t="str">
        <f>IF(OR(D481=0,D485="　",1*MID(D488,1,2)&lt;=2,1*MID(D488,1,2)=5),"","m")</f>
        <v/>
      </c>
      <c r="K504" s="30" t="str">
        <f>IF(OR(D481=0,D485="　",1*MID(D488,1,2)&lt;=2,1*MID(D488,1,2)=5),"",D491+0.5)</f>
        <v/>
      </c>
      <c r="L504" s="68" t="str">
        <f>IFERROR(D484*K504,"")</f>
        <v/>
      </c>
    </row>
    <row r="505" spans="2:12" ht="11.1" customHeight="1">
      <c r="F505" s="24">
        <v>25</v>
      </c>
      <c r="G505" s="17" t="str">
        <f>IF(OR(D481=0,D485="　",1*MID(D488,1,2)&lt;=2,1*MID(D488,1,2)=5),"","ﾌﾘｸｼｮﾝﾊﾟｯｶｰ取付加工")</f>
        <v/>
      </c>
      <c r="H505" s="29" t="str">
        <f>IF(OR(D481=0,D485="　",1*MID(D488,1,2)&lt;=2,1*MID(D488,1,2)=5),"","材工")</f>
        <v/>
      </c>
      <c r="I505" s="29" t="str">
        <f>IF(OR(D481=0,D485="　",1*MID(D488,1,2)&lt;=2,1*MID(D488,1,2)=5),"","n=1")</f>
        <v/>
      </c>
      <c r="J505" s="16" t="str">
        <f>IF(OR(D481=0,D485="　",1*MID(D488,1,2)&lt;=2,1*MID(D488,1,2)=5),"","式")</f>
        <v/>
      </c>
      <c r="K505" s="32" t="str">
        <f>IF(OR(D481=0,D485="　",1*MID(D488,1,2)&lt;=2,1*MID(D488,1,2)=5),"",1)</f>
        <v/>
      </c>
      <c r="L505" s="70" t="str">
        <f>IFERROR(D484*K505,"")</f>
        <v/>
      </c>
    </row>
    <row r="506" spans="2:12" ht="11.1" customHeight="1">
      <c r="F506" s="24">
        <v>26</v>
      </c>
      <c r="G506" s="17" t="str">
        <f>IF(OR(D481=0,D485="　",1*MID(D488,1,2)=0,1*MID(D488,1,2)=2,1*MID(D488,1,2)=3,1*MID(D488,1,2)=4),"","試験ﾊﾟｯｶｰ水注入ﾎｰｽ")</f>
        <v/>
      </c>
      <c r="H506" s="38" t="str">
        <f>IF(OR(D481=0,D485="　",1*MID(D488,1,2)=0,1*MID(D488,1,2)=2,1*MID(D488,1,2)=3,1*MID(D488,1,2)=4),"","φ4/6、ナイロン")</f>
        <v/>
      </c>
      <c r="I506" s="38" t="str">
        <f>IF(OR(D481=0,D485="　",1*MID(D488,1,2)=0,1*MID(D488,1,2)=2,1*MID(D488,1,2)=3,1*MID(D488,1,2)=4),"","L=自由長+緊張部長")</f>
        <v/>
      </c>
      <c r="J506" s="79" t="str">
        <f>IF(OR(D481=0,D485="　",1*MID(D488,1,2)=0,1*MID(D488,1,2)=2,1*MID(D488,1,2)=3,1*MID(D488,1,2)=4),"","m")</f>
        <v/>
      </c>
      <c r="K506" s="80" t="str">
        <f>IF(OR(D481=0,D485="　",1*MID(D488,1,2)=0,1*MID(D488,1,2)=2,1*MID(D488,1,2)=3,1*MID(D488,1,2)=4),"",D495+D496)</f>
        <v/>
      </c>
      <c r="L506" s="81" t="str">
        <f>IFERROR(D484*K506,"")</f>
        <v/>
      </c>
    </row>
    <row r="507" spans="2:12" ht="11.1" customHeight="1">
      <c r="F507" s="24">
        <v>27</v>
      </c>
      <c r="G507" s="17" t="str">
        <f>IF(OR(D481=0,D485="　",1*MID(D488,1,2)=0,1*MID(D488,1,2)=2,1*MID(D488,1,2)=3,1*MID(D488,1,2)=4),"","引抜試験パッカー")</f>
        <v/>
      </c>
      <c r="H507" s="38" t="str" cm="1">
        <f t="array" ref="H507">IF(OR(D481=0,D485="　",1*MID(D488,1,2)=0,1*MID(D488,1,2)=2,1*MID(D488,1,2)=3,1*MID(D488,1,2)=4),"",_xlfn.SWITCH(D492,90,"PU90",115,"PU115",135,"PU135",146,"PU146",165,"PU165")&amp;"、3層構造(鋼管･ゴム･布)")</f>
        <v/>
      </c>
      <c r="I507" s="38" t="str">
        <f>IF(OR(D481=0,D485="　",1*MID(D488,1,2)=0,1*MID(D488,1,2)=2,1*MID(D488,1,2)=3,1*MID(D488,1,2)=4),"","n=1")</f>
        <v/>
      </c>
      <c r="J507" s="79" t="str">
        <f>IF(OR(D481=0,D485="　",1*MID(D488,1,2)=0,1*MID(D488,1,2)=2,1*MID(D488,1,2)=3,1*MID(D488,1,2)=4),"","式")</f>
        <v/>
      </c>
      <c r="K507" s="32" t="str" cm="1">
        <f t="array" ref="K507">IF(OR(D481=0,D485="　",1*MID(D488,1,2)=0,1*MID(D488,1,2)=2,1*MID(D488,1,2)=3,1*MID(D488,1,2)=4),"",_xlfn.IFS(OR(1*MID(D488,1,2)=1,1*MID(D488,1,2)&gt;=5),1))</f>
        <v/>
      </c>
      <c r="L507" s="68" t="str">
        <f>IFERROR(D484*K507,"")</f>
        <v/>
      </c>
    </row>
    <row r="508" spans="2:12" ht="11.1" customHeight="1">
      <c r="F508" s="24">
        <v>28</v>
      </c>
      <c r="G508" s="17" t="str">
        <f>IF(OR(D481=0,D485="　",1*MID(D488,1,2)=0,1*MID(D488,1,2)=2,1*MID(D488,1,2)=3,1*MID(D488,1,2)=4),"","引抜試験パッカー取付加工")</f>
        <v/>
      </c>
      <c r="H508" s="38" t="str">
        <f>IF(OR(D481=0,D485="　",1*MID(D488,1,2)=0,1*MID(D488,1,2)=2,1*MID(D488,1,2)=3,1*MID(D488,1,2)=4),"","材工")</f>
        <v/>
      </c>
      <c r="I508" s="38" t="str">
        <f>IF(OR(D481=0,D485="　",1*MID(D488,1,2)=0,1*MID(D488,1,2)=2,1*MID(D488,1,2)=3,1*MID(D488,1,2)=4),"","n=1")</f>
        <v/>
      </c>
      <c r="J508" s="79" t="str" cm="1">
        <f t="array" ref="J508">IF(OR(D481=0,D485="　",1*MID(D488,1,2)=0,1*MID(D488,1,2)=2,1*MID(D488,1,2)=3,1*MID(D488,1,2)=4),"",_xlfn.IFS(OR(1*MID(D488,1,2)=1,1*MID(D488,1,2)&gt;=5),"式"))</f>
        <v/>
      </c>
      <c r="K508" s="32" t="str" cm="1">
        <f t="array" ref="K508">IF(OR(D481=0,D485="　",1*MID(D488,1,2)=0,1*MID(D488,1,2)=2,1*MID(D488,1,2)=3,1*MID(D488,1,2)=4),"",_xlfn.IFS(OR(1*MID(D488,1,2)=1,1*MID(D488,1,2)&gt;=5),1))</f>
        <v/>
      </c>
      <c r="L508" s="68" t="str">
        <f>IFERROR(D484*K508,"")</f>
        <v/>
      </c>
    </row>
    <row r="509" spans="2:12" ht="11.1" customHeight="1">
      <c r="F509" s="24">
        <v>29</v>
      </c>
      <c r="G509" s="17" t="str">
        <f>IF(OR(D481=0,D485="　",1*MID(D488,1,2)=0,1*MID(D488,1,2)=2,1*MID(D488,1,2)=3,1*MID(D488,1,2)=4),"","自由長洗浄ﾎｰｽ")</f>
        <v/>
      </c>
      <c r="H509" s="38" t="str">
        <f>IF(OR(D481=0,D485="　",1*MID(D488,1,2)=0,1*MID(D488,1,2)=2,1*MID(D488,1,2)=3,1*MID(D488,1,2)=4),"","φ16/20、ポリエチレン")</f>
        <v/>
      </c>
      <c r="I509" s="38" t="str">
        <f>IF(OR(D481=0,D485="　",1*MID(D488,1,2)=0,1*MID(D488,1,2)=2,1*MID(D488,1,2)=3,1*MID(D488,1,2)=4),"","L=自由長+0.5")</f>
        <v/>
      </c>
      <c r="J509" s="79" t="str">
        <f>IF(OR(D481=0,D485="　",1*MID(D488,1,2)=0,1*MID(D488,1,2)=2,1*MID(D488,1,2)=3,1*MID(D488,1,2)=4),"","m")</f>
        <v/>
      </c>
      <c r="K509" s="32" t="str">
        <f>IF(OR(D481=0,D485="　",1*MID(D488,1,2)=0,1*MID(D488,1,2)=2,1*MID(D488,1,2)=3,1*MID(D488,1,2)=4),"",D495+0.5)</f>
        <v/>
      </c>
      <c r="L509" s="81" t="str">
        <f>IFERROR(D484*K509,"")</f>
        <v/>
      </c>
    </row>
    <row r="510" spans="2:12" ht="11.1" customHeight="1">
      <c r="D510" s="1" t="s">
        <v>9</v>
      </c>
      <c r="F510" s="56">
        <v>30</v>
      </c>
      <c r="G510" s="82" t="str">
        <f>IF(OR(D481=0,D485="　",1*MID(D488,1,2)&lt;=2,1*MID(D488,1,2)=5,MID(D510,6,2)&lt;&gt;"あり"),"","確認ホース")</f>
        <v/>
      </c>
      <c r="H510" s="83" t="str">
        <f>IF(OR(D481=0,D485="　",1*MID(D488,1,2)&lt;=2,1*MID(D488,1,2)=5,MID(D510,6,2)&lt;&gt;"あり"),"","φ17、ポリエチレン")</f>
        <v/>
      </c>
      <c r="I510" s="83"/>
      <c r="J510" s="84" t="str">
        <f>IF(OR(D481=0,D485="　",1*MID(D488,1,2)&lt;=2,1*MID(D488,1,2)=5,MID(D510,6,2)&lt;&gt;"あり"),"","m")</f>
        <v/>
      </c>
      <c r="K510" s="85" t="str">
        <f>IF(OR(D480=0,D485="　",1*MID(D488,1,2)&lt;=2,1*MID(D488,1,2)=5,MID(D510,6,2)&lt;&gt;"あり"),"",0.5+MROUND(D495+D497,0.1))</f>
        <v/>
      </c>
      <c r="L510" s="86" t="str">
        <f>IFERROR(D484*K510,"")</f>
        <v/>
      </c>
    </row>
    <row r="512" spans="2:12" ht="11.1" customHeight="1">
      <c r="B512" s="19" t="s">
        <v>1</v>
      </c>
      <c r="D512" s="4"/>
      <c r="G512" s="73" t="s">
        <v>39</v>
      </c>
    </row>
    <row r="513" spans="2:12" ht="11.1" customHeight="1">
      <c r="G513" s="99">
        <f>D514</f>
        <v>16</v>
      </c>
      <c r="H513" s="55" t="str">
        <f>IF(D515=0,"",D516&amp;" "&amp;D519&amp; "："&amp;TEXT(D532,"L=##0.00")&amp;"m"&amp;TEXT(D530,",L1=##0.00")&amp;"m"&amp;TEXT(D529,",Lf=##0.00")&amp;"m"&amp;TEXT(D525,",LA=##0.00")&amp;"m"&amp;TEXT(D531,",L2=##0.00")&amp;"m")</f>
        <v>(16)1段/2段 EHD5-3H：L=17.20m,L1=1.00m,Lf=9.00m,LA=7.00m,L2=0.20m</v>
      </c>
      <c r="I513" s="55"/>
      <c r="J513" s="18"/>
    </row>
    <row r="514" spans="2:12" ht="11.1" customHeight="1">
      <c r="B514" s="13" t="s">
        <v>2</v>
      </c>
      <c r="C514" s="3" t="s">
        <v>3</v>
      </c>
      <c r="D514" s="98">
        <f>1+(ROW()-ROW($D$4))/34</f>
        <v>16</v>
      </c>
      <c r="F514" s="20"/>
      <c r="G514" s="21" t="s">
        <v>21</v>
      </c>
      <c r="H514" s="22" t="s">
        <v>22</v>
      </c>
      <c r="I514" s="22" t="s">
        <v>38</v>
      </c>
      <c r="J514" s="23" t="s">
        <v>23</v>
      </c>
      <c r="K514" s="22" t="s">
        <v>24</v>
      </c>
      <c r="L514" s="3" t="s">
        <v>4</v>
      </c>
    </row>
    <row r="515" spans="2:12" ht="11.1" customHeight="1">
      <c r="B515" s="28" t="s">
        <v>25</v>
      </c>
      <c r="C515" s="5" t="s">
        <v>26</v>
      </c>
      <c r="D515" s="6">
        <v>1</v>
      </c>
      <c r="F515" s="24">
        <v>1</v>
      </c>
      <c r="G515" s="25" t="str">
        <f>IF(OR(D515=0,D519="　"),"","硅砂付着ECFﾃﾝﾄﾞﾝ")</f>
        <v>硅砂付着ECFﾃﾝﾄﾞﾝ</v>
      </c>
      <c r="H515" s="26" t="str">
        <f>IF(OR(D515=0,D519="　"),"",D519&amp;" ("&amp;MID(D519,6,FIND("H",D519,6)-6)&amp;IF(MID(D519,4,1)="5","φ12.7","φ15.2")&amp;")")</f>
        <v>EHD5-3H (3φ12.7)</v>
      </c>
      <c r="I515" s="57" t="str">
        <f>IF(OR(D515=0,D519="　"),"","W=テンドン長×PC鋼より線本数×"&amp;IF(MID(D519,4,1)="5","0.774","1.101")&amp;"kg/m")</f>
        <v>W=テンドン長×PC鋼より線本数×0.774kg/m</v>
      </c>
      <c r="J515" s="14" t="str">
        <f>IF(OR(D515=0,D519="　"),"","kg")</f>
        <v>kg</v>
      </c>
      <c r="K515" s="27">
        <f>IF(OR(D515=0,D519="　"),"",MROUND(D532*MID(D519,6,FIND("H",D519,6)-6)*IF(MID(D519,4,1)="5","0.774","1.101"),0.01))</f>
        <v>39.94</v>
      </c>
      <c r="L515" s="15">
        <f>IFERROR(D518*K515,"")</f>
        <v>399.4</v>
      </c>
    </row>
    <row r="516" spans="2:12" ht="11.1" customHeight="1">
      <c r="B516" s="31" t="s">
        <v>45</v>
      </c>
      <c r="C516" s="71" t="s">
        <v>6</v>
      </c>
      <c r="D516" s="74" t="s">
        <v>102</v>
      </c>
      <c r="F516" s="24">
        <v>2</v>
      </c>
      <c r="G516" s="17" t="str">
        <f>IF(OR(D515=0,D519="　"),"","アンカー工場加工")</f>
        <v>アンカー工場加工</v>
      </c>
      <c r="H516" s="29"/>
      <c r="I516" s="46" t="str">
        <f>IF(OR(D515=0,D519="　"),"","L=テンドン長")</f>
        <v>L=テンドン長</v>
      </c>
      <c r="J516" s="16" t="str">
        <f>IF(OR(D515=0,D519="　"),"","m")</f>
        <v>m</v>
      </c>
      <c r="K516" s="30">
        <f>IF(OR(D515=0,D519="　"),"",MROUND(D532,0.1))</f>
        <v>17.2</v>
      </c>
      <c r="L516" s="67">
        <f>IFERROR(D518*K516,"")</f>
        <v>172</v>
      </c>
    </row>
    <row r="517" spans="2:12" ht="11.1" customHeight="1">
      <c r="B517" s="34" t="s">
        <v>7</v>
      </c>
      <c r="C517" s="49" t="s">
        <v>6</v>
      </c>
      <c r="D517" s="2" t="s">
        <v>34</v>
      </c>
      <c r="F517" s="24">
        <v>3</v>
      </c>
      <c r="G517" s="17" t="str">
        <f>IF(OR(D515=0,D519="　",1*MID(D522,1,2)=1,1*MID(D522,1,2)&gt;=5),"","頭部キャップ")</f>
        <v>頭部キャップ</v>
      </c>
      <c r="H517" s="29" t="str" cm="1">
        <f t="array" ref="H517">IF(OR(D515=0,D519="　",1*MID(D522,1,2)=1,1*MID(D522,1,2)&gt;=5),"",IF(MID(D519,4,1)="5",_xlfn.SWITCH(1*MID(D519,6,FIND("H",D519,6)-6),1,"S",2,"S",3,"S",4,"S",5,"M",6,"M",7,"M",8,"L",9,"L",10,"L",11,"L",12,"L"),_xlfn.SWITCH(1*MID(D519,6,FIND("H",D519,6)-6),1,"S",2,"S",3,"M",4,"M",5,"L",6,"L",7,"L",8,"LL",9,"LL",10,"LL",11,"LL",12,"LL",13,"LL",14,"LL",15,"3L",16,"3L",17,"3L",18,"3L",19,"3L"))&amp;"型"&amp;MID(D520,IF(MID(D520,1,1)="G",4,1),10)&amp;IF(OR(MID(D520,1,2)="透明",MID(D520,1,2)="5窓"),"、PC樹脂","")&amp;IF(MID(D520,4,2)="鋼製","、SS400相当、HDZT77めっき","、ｱﾙﾐAC4C相当"))&amp;_xlfn.IFS(OR(D515=0,D519="　",MID(D517,1,3)="防食Ⅱ"),"",MID(D517,5,2)="塩害","、ﾀｹｺｰﾄ処理",MID(D517,5,2)="酸性","、重防食処理")</f>
        <v>S型透明ｷｬｯﾌﾟ、PC樹脂、ｱﾙﾐAC4C相当</v>
      </c>
      <c r="I517" s="52" t="str">
        <f>IF(OR(D515=0,D519="　",1*MID(D522,1,2)=1,1*MID(D522,1,2)&gt;=5),"","n=1")</f>
        <v>n=1</v>
      </c>
      <c r="J517" s="16" t="str">
        <f>IF(OR(D515=0,D519="　",1*MID(D522,1,2)=1,1*MID(D522,1,2)&gt;=5),"","個")</f>
        <v>個</v>
      </c>
      <c r="K517" s="32">
        <f>IF(OR(D515=0,D519="　",1*MID(D522,1,2)=1,1*MID(D522,1,2)&gt;=5),"",1)</f>
        <v>1</v>
      </c>
      <c r="L517" s="68">
        <f>IFERROR(D518*K517,"")</f>
        <v>10</v>
      </c>
    </row>
    <row r="518" spans="2:12" ht="11.1" customHeight="1">
      <c r="B518" s="31" t="s">
        <v>27</v>
      </c>
      <c r="C518" s="10" t="s">
        <v>5</v>
      </c>
      <c r="D518" s="75">
        <v>10</v>
      </c>
      <c r="F518" s="24">
        <v>4</v>
      </c>
      <c r="G518" s="17" t="str">
        <f>IF(OR(D515=0,D519="　",1*MID(D522,1,2)=1,1*MID(D522,1,2)&gt;=5),"","アンカーヘッド")</f>
        <v>アンカーヘッド</v>
      </c>
      <c r="H518" s="29" t="str" cm="1">
        <f t="array" ref="H518">IF(OR(D515=0,D519="　",1*MID(D522,1,2)=1,1*MID(D522,1,2)&gt;=5),"",IF(MID(D519,4,1)="5","G5"&amp;_xlfn.SWITCH(1*MID(D519,6,FIND("H",D519,6)-6),1,"01",2,"02",3,"03",4,"04",5,"07",6,"07",7,"07",8,"09",9,"09",10,"12",11,"12",12,"12"),"G6"&amp;_xlfn.SWITCH(1*MID(D519,6,FIND("H",D519,6)-6),1,"01",2,"02",3,"03",4,"04",5,"07",6,"07",7,"07",8,"09",9,"09",10,"12",11,"12",12,"12",13,"14",14,"14",15,"19",16,"19",17,"19",18,"19",19,"19"))&amp;"、S45C相当")&amp;IF(OR(D515=0,D519="　",MID(D520,1,3)="ｱﾙﾐ",1*MID(D522,1,2)=1,1*MID(D522,1,2)&gt;=5),"","、無電解Niめっき")</f>
        <v>G503、S45C相当、無電解Niめっき</v>
      </c>
      <c r="I518" s="52" t="str">
        <f>IF(OR(D515=0,D519="　",1*MID(D522,1,2)=1,1*MID(D522,1,2)&gt;=5),"","n=1")</f>
        <v>n=1</v>
      </c>
      <c r="J518" s="16" t="str">
        <f>IF(OR(D515=0,D519="　",1*MID(D522,1,2)=1,1*MID(D522,1,2)&gt;=5),"","個")</f>
        <v>個</v>
      </c>
      <c r="K518" s="32">
        <f>IF(OR(D515=0,D519="　",1*MID(D522,1,2)=1,1*MID(D522,1,2)&gt;=5),"",1)</f>
        <v>1</v>
      </c>
      <c r="L518" s="68">
        <f>IFERROR(D518*K518,"")</f>
        <v>10</v>
      </c>
    </row>
    <row r="519" spans="2:12" ht="11.1" customHeight="1">
      <c r="B519" s="33" t="s">
        <v>28</v>
      </c>
      <c r="C519" s="71" t="s">
        <v>6</v>
      </c>
      <c r="D519" s="7" t="s">
        <v>0</v>
      </c>
      <c r="F519" s="24">
        <v>5</v>
      </c>
      <c r="G519" s="17" t="str">
        <f>IF(OR(D515=0,D519="　",1*MID(D522,1,2)=1,1*MID(D522,1,2)&gt;=5),"","ナット")</f>
        <v>ナット</v>
      </c>
      <c r="H519" s="29" t="str" cm="1">
        <f t="array" ref="H519">IF(OR(D515=0,D519="　",1*MID(D522,1,2)=1,1*MID(D522,1,2)&gt;=5),"",IF(MID(D519,4,1)="5","G5"&amp;_xlfn.SWITCH(1*MID(D519,6,FIND("H",D519,6)-6),1,"01",2,"02",3,"03",4,"04",5,"07",6,"07",7,"07",8,"09",9,"09",10,"12",11,"12",12,"12"),"G6"&amp;_xlfn.SWITCH(1*MID(D519,6,FIND("H",D519,6)-6),1,"01",2,"02",3,"03",4,"04",5,"07",6,"07",7,"07",8,"09",9,"09",10,"12",11,"12",12,"12",13,"14",14,"14",15,"19",16,"19",17,"19",18,"19",19,"19"))&amp;"、S45C相当")&amp;IF(OR(D515=0,D519="　",MID(D520,1,3)="ｱﾙﾐ",1*MID(D522,1,2)=1,1*MID(D522,1,2)&gt;=5),"","、無電解Niめっき")</f>
        <v>G503、S45C相当、無電解Niめっき</v>
      </c>
      <c r="I519" s="52" t="str">
        <f>IF(OR(D515=0,D519="　",1*MID(D522,1,2)=1,1*MID(D522,1,2)&gt;=5),"","n=1")</f>
        <v>n=1</v>
      </c>
      <c r="J519" s="16" t="str">
        <f>IF(OR(D515=0,D519="　",1*MID(D522,1,2)=1,1*MID(D522,1,2)&gt;=5),"","個")</f>
        <v>個</v>
      </c>
      <c r="K519" s="32">
        <f>IF(OR(D515=0,D519="　",1*MID(D522,1,2)=1,1*MID(D522,1,2)&gt;=5),"",1)</f>
        <v>1</v>
      </c>
      <c r="L519" s="68">
        <f>IFERROR(D518*K519,"")</f>
        <v>10</v>
      </c>
    </row>
    <row r="520" spans="2:12" ht="11.1" customHeight="1">
      <c r="B520" s="35" t="s">
        <v>29</v>
      </c>
      <c r="C520" s="49" t="s">
        <v>6</v>
      </c>
      <c r="D520" s="2" t="s">
        <v>35</v>
      </c>
      <c r="F520" s="24">
        <v>6</v>
      </c>
      <c r="G520" s="17" t="str">
        <f>IF(OR(D515=0,D519="　",1*MID(D522,1,2)=1,1*MID(D522,1,2)&gt;=5),"","くさび")</f>
        <v>くさび</v>
      </c>
      <c r="H520" s="29" t="str">
        <f>IF(OR(D515=0,D519="　",1*MID(D522,1,2)=1,1*MID(D522,1,2)&gt;=5),"",IF(1*MID(D519,4,1)=5,"ECF12.7","ECF15.2")&amp;"、SCM415相当")&amp;IF(OR(D515=0,D519="　",MID(D520,1,3)="ｱﾙﾐ",1*MID(D522,1,2)=1,1*MID(D522,1,2)&gt;=5),"","、無電解Niめっき")</f>
        <v>ECF12.7、SCM415相当、無電解Niめっき</v>
      </c>
      <c r="I520" s="52" t="str">
        <f>IF(OR(D515=0,D519="　",1*MID(D522,1,2)=1,1*MID(D522,1,2)&gt;=5),"","n=1")</f>
        <v>n=1</v>
      </c>
      <c r="J520" s="16" t="str">
        <f>IF(OR(D515=0,D519="　",1*MID(D522,1,2)=1,1*MID(D522,1,2)&gt;=5),"","式")</f>
        <v>式</v>
      </c>
      <c r="K520" s="32">
        <f>IF(OR(D515=0,D519="　",1*MID(D522,1,2)=1,1*MID(D522,1,2)&gt;=5),"",1)</f>
        <v>1</v>
      </c>
      <c r="L520" s="68">
        <f>IFERROR(D518*K520,"")</f>
        <v>10</v>
      </c>
    </row>
    <row r="521" spans="2:12" ht="11.1" customHeight="1">
      <c r="B521" s="35" t="s">
        <v>8</v>
      </c>
      <c r="C521" s="49" t="s">
        <v>6</v>
      </c>
      <c r="D521" s="2" t="s">
        <v>36</v>
      </c>
      <c r="F521" s="24">
        <v>7</v>
      </c>
      <c r="G521" s="17" t="str">
        <f>IF(OR(D515=0,D519="　",1*MID(D522,1,2)=1,1*MID(D522,1,2)&gt;=5),"","押え板")</f>
        <v>押え板</v>
      </c>
      <c r="H521" s="29" t="str" cm="1">
        <f t="array" ref="H521">IF(OR(D515=0,D519="　",1*MID(D522,1,2)=1,1*MID(D522,1,2)&gt;=5),"",IF(MID(D519,4,1)="5","G5"&amp;_xlfn.SWITCH(1*MID(D519,6,FIND("H",D519,6)-6),1,"01",2,"04",3,"03",4,"04",5,"07",6,"07",7,"07",8,"12",9,"12",10,"12",11,"12",12,"12"),"G6"&amp;_xlfn.SWITCH(1*MID(D519,6,FIND("H",D519,6)-6),1,"01",2,"02",3,"03",4,"04",5,"07",6,"07",7,"07",8,"12",9,"12",10,"12",11,"12",12,"12",13,"14",14,"14",15,"19",16,"19",17,"19",18,"19",19,"19"))&amp;"、SS400相当")&amp;IF(OR(D515=0,D519="　",1*MID(D522,1,2)=1,1*MID(D522,1,2)&gt;=5),"","、"&amp;_xlfn.IFS(MID(D517,1,3)="防食Ⅱ","HDZT77めっき",MID(D517,5,2)="塩害","ｱﾙﾐﾅｲｽﾞ処理",MID(D517,5,2)="酸性","重防食処理"))</f>
        <v>G503、SS400相当、HDZT77めっき</v>
      </c>
      <c r="I521" s="52" t="str">
        <f>IF(OR(D515=0,D519="　",1*MID(D522,1,2)=1,1*MID(D522,1,2)&gt;=5),"","n=1")</f>
        <v>n=1</v>
      </c>
      <c r="J521" s="16" t="str">
        <f>IF(OR(D515=0,D519="　",1*MID(D522,1,2)=1,1*MID(D522,1,2)&gt;=5),"","枚")</f>
        <v>枚</v>
      </c>
      <c r="K521" s="32">
        <f>IF(OR(D515=0,D519="　",1*MID(D522,1,2)=1,1*MID(D522,1,2)&gt;=5),"",1)</f>
        <v>1</v>
      </c>
      <c r="L521" s="68">
        <f>IFERROR(D518*K521,"")</f>
        <v>10</v>
      </c>
    </row>
    <row r="522" spans="2:12" ht="11.1" customHeight="1">
      <c r="B522" s="36" t="s">
        <v>87</v>
      </c>
      <c r="C522" s="72" t="s">
        <v>6</v>
      </c>
      <c r="D522" s="8" t="s">
        <v>42</v>
      </c>
      <c r="F522" s="24">
        <v>8</v>
      </c>
      <c r="G522" s="17" t="str">
        <f>IF(OR(D515=0,D519="　"),"",IF(OR(1*MID(D522,1,2)=1,1*MID(D522,1,2)&gt;=5,MID(D521,1,3)&lt;&gt;"のり面"),"","管付")&amp;"支圧板")</f>
        <v>管付支圧板</v>
      </c>
      <c r="H522" s="29" t="str" cm="1">
        <f t="array" ref="H522">IF(OR(D515=0,D519="　"),"","PL"&amp;IF(OR(1*MID(D522,1,2)=1,1*MID(D522,1,2)&gt;=5,MID(D521,1,3)&lt;&gt;"のり面"),"","P")&amp;IF(MID(D519,4,1)="5","5-"&amp;_xlfn.SWITCH(1*MID(D519,6,FIND("H",D519,6)-6),1,"1",2,"2",3,"3",4,"4",5,"5",6,"6",7,"7",8,"9",9,"9",10,"10",11,"11",12,"12"),"6-"&amp;_xlfn.SWITCH(1*MID(D519,6,FIND("H",D519,6)-6),1,"1",2,"2",3,"3",4,"4",5,"6",6,"6",7,"7",8,"8",9,"9",10,"10",11,"11",12,"12",13,"14",14,"14",15,"16",16,"16",17,"17",18,"18",19,"19"))&amp;"、SS400相当")&amp;IF(OR(D515=0,D519="　"),"","、"&amp;_xlfn.IFS(MID(D517,1,3)="防食Ⅱ","HDZT77めっき",MID(D517,5,2)="塩害","ｱﾙﾐﾅｲｽﾞ処理",MID(D517,5,2)="酸性","重防食処理"))</f>
        <v>PLP5-3、SS400相当、HDZT77めっき</v>
      </c>
      <c r="I522" s="52" t="str">
        <f>IF(OR(D515=0,D519="　"),"","n=1")</f>
        <v>n=1</v>
      </c>
      <c r="J522" s="16" t="str">
        <f>IF(OR(D515=0,D519="　"),"","枚")</f>
        <v>枚</v>
      </c>
      <c r="K522" s="32">
        <f>IF(OR(D515=0,D519="　"),"",1)</f>
        <v>1</v>
      </c>
      <c r="L522" s="68">
        <f>IFERROR(D518*K522,"")</f>
        <v>10</v>
      </c>
    </row>
    <row r="523" spans="2:12" ht="11.1" customHeight="1">
      <c r="B523" s="37" t="str" cm="1">
        <f t="array" ref="B523">"頭部自由長"&amp;_xlfn.IFS(MID(D521,1,2)="なし","",MID(D521,1,3)="受圧体","(受圧体)",MID(D521,1,3)="のり面","(角度台座＋受圧体)",MID(D521,1,3)="構造物","(壁面台座)",MID(D521,1,3)="土留め","(台座+腹起し)",MID(D521,1,3)="個別台","(個別台座+腹起し)")&amp;"　Lfh"</f>
        <v>頭部自由長(角度台座＋受圧体)　Lfh</v>
      </c>
      <c r="C523" s="9" t="s">
        <v>10</v>
      </c>
      <c r="D523" s="75">
        <v>0.5</v>
      </c>
      <c r="F523" s="24">
        <v>9</v>
      </c>
      <c r="G523" s="17" t="str">
        <f>IF(OR(D515=0,D519="　",1*MID(D522,1,2)=1,1*MID(D522,1,2)&gt;=5),"","止水ゴム")</f>
        <v>止水ゴム</v>
      </c>
      <c r="H523" s="29" t="str">
        <f>IF(OR(D515=0,D519="　",1*MID(D522,1,2)=1,1*MID(D522,1,2)&gt;=5),"","G"&amp;MID(D519,4,4)&amp;"、NBR45相当")</f>
        <v>G5-3H、NBR45相当</v>
      </c>
      <c r="I523" s="52" t="str">
        <f>IF(OR(D515=0,D519="　",1*MID(D522,1,2)=1,1*MID(D522,1,2)&gt;=5),"","n=1")</f>
        <v>n=1</v>
      </c>
      <c r="J523" s="16" t="str">
        <f>IF(OR(D515=0,D519="　",1*MID(D522,1,2)=1,1*MID(D522,1,2)&gt;=5),"","個")</f>
        <v>個</v>
      </c>
      <c r="K523" s="32">
        <f>IF(OR(D515=0,D519="　",1*MID(D522,1,2)=1,1*MID(D522,1,2)&gt;=5),"",1)</f>
        <v>1</v>
      </c>
      <c r="L523" s="68">
        <f>IFERROR(D518*K523,"")</f>
        <v>10</v>
      </c>
    </row>
    <row r="524" spans="2:12" ht="11.1" customHeight="1">
      <c r="B524" s="31" t="s">
        <v>11</v>
      </c>
      <c r="C524" s="10" t="s">
        <v>10</v>
      </c>
      <c r="D524" s="75">
        <v>8.5</v>
      </c>
      <c r="F524" s="24">
        <v>10</v>
      </c>
      <c r="G524" s="17" t="str" cm="1">
        <f t="array" ref="G524">IF(OR(D515=0,D519="　",1*MID(D522,1,2)=1,1*MID(D522,1,2)&gt;=5),"",_xlfn.IFS(MID(D520,1,3)="ｱﾙﾐ","頭部防錆油",MID(D520,1,3)&lt;&gt;"ｱﾙﾐ","余長キャップ"))</f>
        <v>余長キャップ</v>
      </c>
      <c r="H524" s="29" t="str" cm="1">
        <f t="array" ref="H524">_xlfn.IFS(OR(D515=0,D519="　",1*MID(D522,1,2)=1,1*MID(D522,1,2)&gt;=5),"",MID(D520,1,3)="ｱﾙﾐ","PCコートC",MID(D520,1,3)&lt;&gt;"ｱﾙﾐ","TC"&amp;MID(D519,4,1)&amp;"、高密度ポリエチレン")</f>
        <v>TC5、高密度ポリエチレン</v>
      </c>
      <c r="I524" s="52" t="str" cm="1">
        <f t="array" ref="I524">_xlfn.IFS(OR(D515=0,D519="　",1*MID(D522,1,2)=1,1*MID(D522,1,2)&gt;=5),"",MID(D520,1,3)="ｱﾙﾐ","W="&amp;IF(MID(D519,4,1)="5",_xlfn.SWITCH(1*MID(LEFT(D519, LEN(D519)-1),6,2),1,1.9,2,1.3,3,1.3,4,1.3,5,1.6,6,1.6,7,1.6,8,3.1,9,3.1,10,3.1,11,3.1,12,3.1),"G6"&amp;_xlfn.SWITCH(1*MID(LEFT(D519, LEN(D519)-1),6,2),1,1.8,2,1.3,3,1.8,4,1.8,5,3.3,6,3.3,7,3.3,8,9.9,9,9.9,10,9.9,11,9.9,12,9.9,13,9.9,14,9.9)),MID(D520,1,3)&lt;&gt;"ｱﾙﾐ","n=1")</f>
        <v>n=1</v>
      </c>
      <c r="J524" s="16" t="str" cm="1">
        <f t="array" ref="J524">_xlfn.IFS(OR(D515=0,D519="　",1*MID(D522,1,2)=1,1*MID(D522,1,2)&gt;=5),"",MID(D520,1,3)="ｱﾙﾐ","kg",MID(D520,1,3)&lt;&gt;"ｱﾙﾐ","式")</f>
        <v>式</v>
      </c>
      <c r="K524" s="80" cm="1">
        <f t="array" ref="K524">_xlfn.IFS(OR(D515=0,D519="　",1*MID(D522,1,2)=1,1*MID(D522,1,2)&gt;=5),"",MID(D520,1,3)="ｱﾙﾐ",_xlfn.SWITCH(MID(D519,4,1),"5",_xlfn.SWITCH(1*MID(D519,6,FIND("H",D519,6)-6),1,1.9,2,1.3,3,1.3,4,1.3,5,1.6,6,1.6,7,1.6,8,3.1,9,3.1,10,3.1,11,3.1,12,3.1),"6",_xlfn.SWITCH(1*MID(D519,6,FIND("H",D519,6)-6),1,1.8,2,1.3,3,1.8,4,1.8,5,3.3,6,3.3,7,3.3,8,9.9,9,9.9,10,9.9,11,9.9,12,9.9,13,9.9,14,9.9)),MID(D520,1,3)&lt;&gt;"ｱﾙﾐ",1)</f>
        <v>1</v>
      </c>
      <c r="L524" s="68">
        <f>IFERROR(D518*K524,"")</f>
        <v>10</v>
      </c>
    </row>
    <row r="525" spans="2:12" ht="11.1" customHeight="1">
      <c r="B525" s="39" t="s">
        <v>18</v>
      </c>
      <c r="C525" s="40" t="s">
        <v>10</v>
      </c>
      <c r="D525" s="75">
        <v>7</v>
      </c>
      <c r="F525" s="24">
        <v>11</v>
      </c>
      <c r="G525" s="17" t="str">
        <f>IF(OR(D515=0,D519="　",1*MID(D522,1,2)=1,1*MID(D522,1,2)&gt;=5),"","配列スペーサ")</f>
        <v>配列スペーサ</v>
      </c>
      <c r="H525" s="29" t="str">
        <f>IF(OR(D515=0,D519="　",1*MID(D522,1,2)=1,1*MID(D522,1,2)&gt;=5),"",IF(MID(D519,4,1)="5","PS5-"&amp;_xlfn.SWITCH(1*MID(D519,6,FIND("H",D519,6)-6),1,"7",2,"2",3,"3",4,"4",5,"7",6,"7",7,"7",8,"12",9,"12",10,"12",11,"12",12,"12"),"PS6-"&amp;_xlfn.SWITCH(1*MID(D519,6,FIND("H",D519,6)-6),1,"7",2,"2",3,"3",4,"4",5,"7",6,"7",7,"7",8,"12",9,"12",10,"12",11,"12",12,"12",13,"14",14,"14",15,"19",16,"19",17,"19",18,"19",19,"19"))&amp;"、ポリエチレン")</f>
        <v>PS5-3、ポリエチレン</v>
      </c>
      <c r="I525" s="52" t="str">
        <f>IF(OR(D515=0,D519="　",1*MID(D522,1,2)=1,1*MID(D522,1,2)&gt;=5),"","n=2")</f>
        <v>n=2</v>
      </c>
      <c r="J525" s="16" t="str">
        <f>IF(OR(D515=0,D519="　",1*MID(D522,1,2)=1,1*MID(D522,1,2)&gt;=5),"","個")</f>
        <v>個</v>
      </c>
      <c r="K525" s="32">
        <f>IF(OR(D515=0,D519="　",1*MID(D522,1,2)=1,1*MID(D522,1,2)&gt;=5),"",2)</f>
        <v>2</v>
      </c>
      <c r="L525" s="68">
        <f>IFERROR(D518*K525,"")</f>
        <v>20</v>
      </c>
    </row>
    <row r="526" spans="2:12" ht="11.1" customHeight="1">
      <c r="B526" s="36" t="s">
        <v>17</v>
      </c>
      <c r="C526" s="11" t="s">
        <v>16</v>
      </c>
      <c r="D526" s="54">
        <v>90</v>
      </c>
      <c r="F526" s="24">
        <v>12</v>
      </c>
      <c r="G526" s="17" t="str">
        <f>IF(OR(D515=0,D519="　"),"","スペーサ")</f>
        <v>スペーサ</v>
      </c>
      <c r="H526" s="29" t="str" cm="1">
        <f t="array" ref="H526">IF(OR(D515=0,D519="　"),"",IF(MID(D519,4,1)="5","S5-"&amp;_xlfn.IFS(1*MID(D519,6,FIND("H",D519,6)-6)&lt;6,"5",1*MID(D519,6,FIND("H",D519,6)-6)&lt;9,"8",1*MID(D519,6,FIND("H",D519,6)-6)&gt;8,"12"),"S6-"&amp;_xlfn.IFS(1*MID(D519,6,FIND("H",D519,6)-6)&lt;4,"3",1*MID(D519,6,FIND("H",D519,6)-6)&lt;7,"6",1*MID(D519,6,FIND("H",D519,6)-6)&lt;10,"9",1*MID(D519,6,FIND("H",D519,6)-6)&lt;13,"12",1*MID(D519,6,FIND("H",D519,6)-6)&lt;15,"14",1*MID(D519,6,FIND("H",D519,6)-6)&lt;20,"19"))&amp;"、ポリプロピレン")</f>
        <v>S5-5、ポリプロピレン</v>
      </c>
      <c r="I526" s="58" t="str">
        <f>IF(OR(D515=0,D519="　"),"","n=mround(アンカー体長－0.4)÷@1.0m, 1.0)")</f>
        <v>n=mround(アンカー体長－0.4)÷@1.0m, 1.0)</v>
      </c>
      <c r="J526" s="16" t="str">
        <f>IF(OR(D515=0,D519="　"),"","個")</f>
        <v>個</v>
      </c>
      <c r="K526" s="38">
        <f>IF(OR(D515=0,D519="　"),"",MROUND((D525-0.4)/1,1))</f>
        <v>7</v>
      </c>
      <c r="L526" s="67">
        <f>IFERROR(D518*K526,"")</f>
        <v>70</v>
      </c>
    </row>
    <row r="527" spans="2:12" ht="11.1" customHeight="1">
      <c r="B527" s="41" t="s">
        <v>37</v>
      </c>
      <c r="C527" s="5" t="s">
        <v>16</v>
      </c>
      <c r="D527" s="66" cm="1">
        <f t="array" ref="D527">IF(OR(D515=0,D519="　"),"",_xlfn.SWITCH(1*MID(D522,1,2),0,_xlfn.SWITCH(1*MID(D519,4,1),5,_xlfn.SWITCH(1*MID(LEFT(D519, LEN(D519)-1),6,2),1,90,2,90,3,90,4,90,5,90,6,115,7,115,8,115,9,135,10,135,11,135,12,135),6,_xlfn.SWITCH(1*MID(LEFT(D519, LEN(D519)-1),6,2),1,90,2,90,3,90,4,115,5,115,6,115,7,135,8,135,9,135,10,146,11,146,12,146,13,165,14,165)),1,_xlfn.SWITCH(1*MID(D519,4,1),5,_xlfn.SWITCH(1*MID(LEFT(D519, LEN(D519)-1),6,2),1,90,2,90,3,90,4,90,5,115,6,115,7,135,8,135,9,135,10,135,11,165,12,165),6,_xlfn.SWITCH(1*MID(LEFT(D519, LEN(D519)-1),6,2),1,90,2,90,3,115,4,115,5,135,6,135,7,135,8,135,9,135,10,165,11,165,12,165,13,165,14,165)),2,_xlfn.SWITCH(1*MID(D519,4,1),5,_xlfn.SWITCH(1*MID(LEFT(D519, LEN(D519)-1),6,2),1,90,2,90,3,115,4,115,5,115,6,115,7,135,8,135,9,146,10,146,11,146,12,146),6,_xlfn.SWITCH(1*MID(LEFT(D519, LEN(D519)-1),6,2),1,90,2,90,3,115,4,115,5,135,6,135,7,146,8,146,9,146,10,165,11,165,12,165,13,216,14,216)),3,_xlfn.SWITCH(1*MID(D519,4,1),5,_xlfn.SWITCH(1*MID(LEFT(D519, LEN(D519)-1),6,2),1,115,2,115,3,115,4,115,5,115,6,135,7,135,8,135,9,146,10,146,11,146,12,146),6,_xlfn.SWITCH(1*MID(LEFT(D519, LEN(D519)-1),6,2),1,115,2,115,3,115,4,135,5,135,6,135,7,146,8,146,9,146,10,165,11,165,12,165,13,216,14,216)),4,_xlfn.SWITCH(1*MID(D519,4,1),5,_xlfn.SWITCH(1*MID(LEFT(D519, LEN(D519)-1),6,2),1,115,2,115,3,115,4,115,5,115,6,135,7,135,8,135,9,146,10,146,11,146,12,146),6,_xlfn.SWITCH(1*MID(LEFT(D519, LEN(D519)-1),6,2),1,115,2,115,3,115,4,135,5,135,6,135,7,146,8,146,9,146,10,165,11,165,12,165,13,216,14,216)),5,_xlfn.SWITCH(1*MID(D519,4,1),5,_xlfn.SWITCH(1*MID(LEFT(D519, LEN(D519)-1),6,2),1,90,2,90,3,115,4,115,5,115,6,115,7,135,8,135,9,165,10,165,11,165,12,165),6,_xlfn.SWITCH(1*MID(LEFT(D519, LEN(D519)-1),6,2),1,90,2,90,3,115,4,115,5,135,6,135,7,165,8,165,9,165,10,165,11,165,12,165,13,216,14,216)),6,_xlfn.SWITCH(1*MID(D519,4,1),5,_xlfn.SWITCH(1*MID(LEFT(D519, LEN(D519)-1),6,2),1,115,2,115,3,115,4,115,5,115,6,135,7,135,8,135,9,165,10,165,11,165,12,165),6,_xlfn.SWITCH(1*MID(LEFT(D519, LEN(D519)-1),6,2),1,115,2,115,3,115,4,135,5,135,6,135,7,165,8,165,9,165,10,165,11,165,12,165,13,216,14,216)),7,_xlfn.SWITCH(1*MID(D519,4,1),5,_xlfn.SWITCH(1*MID(LEFT(D519, LEN(D519)-1),6,2),1,115,2,115,3,115,4,115,5,115,6,135,7,135,8,135,9,165,10,165,11,165,12,165),6,_xlfn.SWITCH(1*MID(LEFT(D519, LEN(D519)-1),6,2),1,115,2,115,3,115,4,135,5,135,6,135,7,165,8,165,9,165,10,165,11,165,12,165,13,216,14,216))))</f>
        <v>90</v>
      </c>
      <c r="F527" s="24">
        <v>13</v>
      </c>
      <c r="G527" s="17" t="str">
        <f>IF(OR(D515=0,D519="　"),"","ﾊﾟｲﾛｯﾄｷｬｯﾌﾟ")</f>
        <v>ﾊﾟｲﾛｯﾄｷｬｯﾌﾟ</v>
      </c>
      <c r="H527" s="29" t="str" cm="1">
        <f t="array" ref="H527">IF(OR(D515=0,D519="　"),"",IF(MID(D519,4,1)="5","PC5-"&amp;_xlfn.IFS(1*MID(D519,6,FIND("H",D519,6)-6)&lt;5,"4",1*MID(D519,6,FIND("H",D519,6)-6)&lt;8,"7",1*MID(D519,6,FIND("H",D519,6)-6)&lt;10,"9",1*MID(D519,6,FIND("H",D519,6)-6)&gt;9,"12"),"PC6-"&amp;_xlfn.IFS(1*MID(D519,6,FIND("H",D519,6)-6)&lt;4,"3",1*MID(D519,6,FIND("H",D519,6)-6)&lt;8,"7",1*MID(D519,6,FIND("H",D519,6)-6)&lt;13,"12",1*MID(D519,6,FIND("H",D519,6)-6)&lt;15,"14",1*MID(D519,6,FIND("H",D519,6)-6)&lt;20,"19"))&amp;"、ポリプロピレン")</f>
        <v>PC5-4、ポリプロピレン</v>
      </c>
      <c r="I527" s="52" t="str">
        <f>IF(OR(D515=0,D519="　"),"","n=1")</f>
        <v>n=1</v>
      </c>
      <c r="J527" s="16" t="str">
        <f>IF(OR(D515=0,D519="　"),"","個")</f>
        <v>個</v>
      </c>
      <c r="K527" s="32">
        <f>IF(OR(D515=0,D519="　"),"",1)</f>
        <v>1</v>
      </c>
      <c r="L527" s="68">
        <f>IFERROR(D518*K527,"")</f>
        <v>10</v>
      </c>
    </row>
    <row r="528" spans="2:12" ht="11.1" customHeight="1">
      <c r="B528" s="43" t="s">
        <v>30</v>
      </c>
      <c r="C528" s="44" t="s">
        <v>31</v>
      </c>
      <c r="D528" s="59" t="str">
        <f>IF(OR(D515=0,D519="　"),"",IF(D526=D527,"OK","CHECK"))</f>
        <v>OK</v>
      </c>
      <c r="F528" s="24">
        <v>14</v>
      </c>
      <c r="G528" s="17" t="str">
        <f>IF(OR(D515=0,D519="　"),"","結束バンド")</f>
        <v>結束バンド</v>
      </c>
      <c r="H528" s="29" t="str">
        <f>IF(OR(D515=0,D519="　"),"","66ナイロン")</f>
        <v>66ナイロン</v>
      </c>
      <c r="I528" s="58" t="str">
        <f>IF(OR(D515=0,D519="　"),"","n=スペーサ数×2")</f>
        <v>n=スペーサ数×2</v>
      </c>
      <c r="J528" s="16" t="str">
        <f>IF(OR(D515=0,D519="　"),"","本")</f>
        <v>本</v>
      </c>
      <c r="K528" s="38">
        <f>IF(OR(D515=0,D519="　"),"",2*K526)</f>
        <v>14</v>
      </c>
      <c r="L528" s="67">
        <f>IFERROR(D518*K528,"")</f>
        <v>140</v>
      </c>
    </row>
    <row r="529" spans="2:12" ht="11.1" customHeight="1">
      <c r="B529" s="45" t="s">
        <v>12</v>
      </c>
      <c r="C529" s="9" t="s">
        <v>10</v>
      </c>
      <c r="D529" s="60">
        <f>IF(OR(D515=0,D519="　"),"──",SUM(D523:D524))</f>
        <v>9</v>
      </c>
      <c r="F529" s="24">
        <v>15</v>
      </c>
      <c r="G529" s="17" t="str">
        <f>IF(OR(D515=0,D519="　"),"","結束テープ")</f>
        <v>結束テープ</v>
      </c>
      <c r="H529" s="29" t="str">
        <f>IF(OR(D515=0,D519="　"),"","フィラメントテープ")</f>
        <v>フィラメントテープ</v>
      </c>
      <c r="I529" s="58" t="str">
        <f>IF(OR(D515=0,D519="　"),"","L=(自由長+緊張部長)÷@1.0m×テープ係数"&amp;IF(MID(D519,4,1)="5",_xlfn.IFS(1*MID(LEFT(D519, LEN(D519)-1),6,2)&lt;4,"0.8",1*MID(LEFT(D519, LEN(D519)-1),6,2)&lt;7,"1.0",1*MID(LEFT(D519, LEN(D519)-1),6,2)&lt;10,"1.2",1*MID(LEFT(D519, LEN(D519)-1),6,2)&lt;13,"1.4"),_xlfn.IFS(1*MID(LEFT(D519, LEN(D519)-1),6,2)&lt;4,"1.0",1*MID(LEFT(D519, LEN(D519)-1),6,2)&lt;7,"1.2",1*MID(LEFT(D519, LEN(D519)-1),6,2)&lt;10,"1.4",1*MID(LEFT(D519, LEN(D519)-1),6,2)&lt;15,"1.8")))</f>
        <v>L=(自由長+緊張部長)÷@1.0m×テープ係数0.8</v>
      </c>
      <c r="J529" s="16" t="str">
        <f>IF(OR(D515=0,D519="　"),"","m")</f>
        <v>m</v>
      </c>
      <c r="K529" s="42" cm="1">
        <f t="array" ref="K529">IF(OR(D515=0,D519="　"),"",MROUND((SUM(D529,D530))/1*IF(MID(D519,4,1)="5",_xlfn.SWITCH(1*MID(D519,6,FIND("H",D519,6)-6),1,0.8,2,0.8,3,0.8,4,1,5,1,6,1,7,1.2,8,1.2,9,1.2,10,1.4,11,1.4,12,1.4),_xlfn.SWITCH(1*MID(D519,6,FIND("H",D519,6)-6),1,1,2,1,3,1,4,1.2,5,1.2,6,1.2,7,1.4,8,1.4,9,1.4,10,1.8,11,1.8,12,1.8,13,1.8,14,1.8,15,2.5,16,2.5,17,2.5,18,2.5,19,2.5)),0.1))</f>
        <v>8</v>
      </c>
      <c r="L529" s="69">
        <f>IFERROR(D518*K529,"")</f>
        <v>80</v>
      </c>
    </row>
    <row r="530" spans="2:12" ht="11.1" customHeight="1">
      <c r="B530" s="47" t="s">
        <v>13</v>
      </c>
      <c r="C530" s="10" t="s">
        <v>10</v>
      </c>
      <c r="D530" s="61" cm="1">
        <f t="array" ref="D530">IF(OR(D515=0,D519="　"),"──",IF(MID(D519,4,1)="5",_xlfn.IFS(1*MID(LEFT(D519,LEN(D519)-1),6,2)&lt;8,1,1*MID(LEFT(D519,LEN(D519)-1),6,2)&lt;13,1.2),_xlfn.IFS(1*MID(LEFT(D519,LEN(D519)-1),6,2)&lt;6,1,1*MID(LEFT(D519,LEN(D519)-1),6,2)&lt;15,1.2)))</f>
        <v>1</v>
      </c>
      <c r="F530" s="24">
        <v>16</v>
      </c>
      <c r="G530" s="17" t="str">
        <f>IF(OR(D515=0,D519="　",1*MID(D522,1,2)=1,1*MID(D522,1,2)=5),"","注入ホース")</f>
        <v>注入ホース</v>
      </c>
      <c r="H530" s="29" t="str">
        <f>IF(OR(D515=0,D519="　",1*MID(D522,1,2)=1,1*MID(D522,1,2)=5),"","φ16/20、高密度ポリエチレン")</f>
        <v>φ16/20、高密度ポリエチレン</v>
      </c>
      <c r="I530" s="46" t="str">
        <f>IF(OR(D515=0,D519="　",1*MID(D522,1,2)=1,1*MID(D522,1,2)=5),"","L=テンドン長")</f>
        <v>L=テンドン長</v>
      </c>
      <c r="J530" s="16" t="str">
        <f>IF(OR(D515=0,D519="　",1*MID(D522,1,2)=1,1*MID(D522,1,2)=5),"","m")</f>
        <v>m</v>
      </c>
      <c r="K530" s="30">
        <f>IF(OR(D515=0,D519="　",1*MID(D522,1,2)=1,1*MID(D522,1,2)=5),"",MROUND(D532,0.1))</f>
        <v>17.2</v>
      </c>
      <c r="L530" s="67">
        <f>IFERROR(D518*K530,"")</f>
        <v>172</v>
      </c>
    </row>
    <row r="531" spans="2:12" ht="11.1" customHeight="1">
      <c r="B531" s="48" t="s">
        <v>19</v>
      </c>
      <c r="C531" s="10" t="s">
        <v>14</v>
      </c>
      <c r="D531" s="62">
        <f>IF(OR(D515=0,D519="　"),"──",0.2)</f>
        <v>0.2</v>
      </c>
      <c r="F531" s="24">
        <v>17</v>
      </c>
      <c r="G531" s="17" t="str" cm="1">
        <f t="array" ref="G531">_xlfn.IFS(OR(D515=0,D519="　",MID(D521,1,2)="なし",MID(D521,1,3)="受圧体",1*MID(D522,1,2)=1,1*MID(D522,1,2)&gt;=5),"",MID(D521,1,3)="のり面","のり面角度台座",MID(D521,1,3)="構造物","構造物壁面台座",MID(D521,1,3)="土留め","土留め台座",MID(D521,1,3)="個別台","個別台座")</f>
        <v>のり面角度台座</v>
      </c>
      <c r="H531" s="46" t="str" cm="1">
        <f t="array" ref="H531">IF(OR(D515=0,D519="　",G531=""),"",_xlfn.IFS(MID(D521,1,3)="のり面",IF(1*MID(D519,4,1)=5,_xlfn.IFS(1*MID(D519,6,FIND("H",D519,6)-6)&lt;5,"ST140",1*MID(D519,6,FIND("H",D519,6)-6)&lt;8,"ST170",1*MID(D519,6,FIND("H",D519,6)-6)&lt;13,"ST220"),_xlfn.IFS(1*MID(D519,6,FIND("H",D519,6)-6)&lt;4,"ST140",1*MID(D519,6,FIND("H",D519,6)-6)&lt;5,"ST170",1*MID(D519,6,FIND("H",D519,6)-6)&lt;8,"ST220",1*MID(D519,6,FIND("H",D519,6)-6)&lt;20,"非該当"))&amp;"、FCD450相当",OR(MID(D521,1,3)="構造物",MID(D521,1,3)="土留め",MID(D521,1,3)="個別台"),D519&amp;"用"&amp;_xlfn.IFS(MID(D521,1,3)="構造物","",MID(D521,1,3)="土留め",IF(1*MID(D519,4,1)=5,_xlfn.SWITCH(1*MID(D519,6,FIND("H",D519,6)-6),1,"DA110",2,"DA220",3,"DA330",4,"DA440",5,"DA550",6,"DA660",7,"DA770",8,"DA880",9,"DA990",10,"DA1100",11,"DA1210",12,"DA1320"),_xlfn.SWITCH(1*MID(D519,6,FIND("H",D519,6)-6),1,"DA220",2,"DA330",3,"DA550",4,"DA660",5,"DA880",6,"DA990",7,"DA1100",8,"DA1320",9,"DA1410",10,"DA1570",11,"DA1730",12,"DA1880",13,"DA2040",14,"DA2200")),MID(D521,1,3)="個別台",D534)))&amp;IF(OR(D515=0,D519="　",G531=""),"","、"&amp;_xlfn.IFS(MID(D517,1,3)="防食Ⅱ","HDZT77めっき",MID(D517,5,2)="塩害","ｱﾙﾐﾅｲｽﾞ処理",MID(D517,5,2)="酸性","重防食処理"))</f>
        <v>ST140、FCD450相当、HDZT77めっき</v>
      </c>
      <c r="I531" s="52" t="str">
        <f>IF(OR(D515=0,D519="　",G531=""),"","n=1")</f>
        <v>n=1</v>
      </c>
      <c r="J531" s="16" t="str">
        <f>IF(OR(D515=0,D519="　",G531=""),"","台")</f>
        <v>台</v>
      </c>
      <c r="K531" s="32">
        <f>IF(OR(D515=0,D519="　",G531=""),"",1)</f>
        <v>1</v>
      </c>
      <c r="L531" s="68">
        <f>IFERROR(D518*K531,"")</f>
        <v>10</v>
      </c>
    </row>
    <row r="532" spans="2:12" ht="11.1" customHeight="1">
      <c r="B532" s="50" t="s">
        <v>20</v>
      </c>
      <c r="C532" s="10" t="s">
        <v>10</v>
      </c>
      <c r="D532" s="63">
        <f>IF(OR(D515=0,D519="　"),"──",SUM(D525,D529:D531))</f>
        <v>17.2</v>
      </c>
      <c r="F532" s="24">
        <v>18</v>
      </c>
      <c r="G532" s="17" t="str">
        <f>IF(OR(D515=0,D519="　",MID(D521,1,3)&lt;&gt;"のり面",1*MID(D522,1,2)=1,1*MID(D522,1,2)&gt;=5),"","補剛板")</f>
        <v>補剛板</v>
      </c>
      <c r="H532" s="46" t="str" cm="1">
        <f t="array" ref="H532">IF(OR(D515=0,D519="　",G532=""),"",IF(MID(D519,4,1)="5","□"&amp;_xlfn.SWITCH(1*MID(D519,6,FIND("H",D519,6)-6),1,"210φ131t12",2,"210φ131t12",3,"240φ131t12",4,"270φ131t12",5,"280φ143t12",6,"310φ143t16",7,"350φ143t19",8,"350φ180t19",9,"350φ180t19",10,"350φ180t19",11,"350φ180t22",12,"350φ180t22"),"□"&amp;_xlfn.SWITCH(1*MID(D519,6,FIND("H",D519,6)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515=0,D519="　",G532=""),"","、"&amp;_xlfn.IFS(MID(D517,1,3)="防食Ⅱ","HDZT77めっき",MID(D517,5,2)="塩害","ｱﾙﾐﾅｲｽﾞ処理",MID(D517,5,2)="酸性","重防食処理"))</f>
        <v>□240φ131t12、SS400相当、HDZT77めっき</v>
      </c>
      <c r="I532" s="52" t="str">
        <f>IF(OR(D515=0,D519="　",G532=""),"","n=1")</f>
        <v>n=1</v>
      </c>
      <c r="J532" s="16" t="str">
        <f>IF(OR(D515=0,D519="　",G532=""),"","枚")</f>
        <v>枚</v>
      </c>
      <c r="K532" s="32">
        <f>IF(OR(D515=0,D519="　",G532=""),"",1)</f>
        <v>1</v>
      </c>
      <c r="L532" s="68">
        <f>IFERROR(D518*K532,"")</f>
        <v>10</v>
      </c>
    </row>
    <row r="533" spans="2:12" ht="11.1" customHeight="1">
      <c r="B533" s="51" t="s">
        <v>15</v>
      </c>
      <c r="C533" s="12" t="s">
        <v>10</v>
      </c>
      <c r="D533" s="64">
        <f>IF(OR(D515=0,D519="　"),"──",0.25)</f>
        <v>0.25</v>
      </c>
      <c r="F533" s="24">
        <v>19</v>
      </c>
      <c r="G533" s="17" t="str" cm="1">
        <f t="array" ref="G533">_xlfn.IFS(OR(D515=0,D519="　",MID(D520,1,3)="ｱﾙﾐ",1*MID(D522,1,2)=1,1*MID(D522,1,2)&gt;=5),"",MID(D520,1,3)&lt;&gt;"ｱﾙﾐ","テンドン補修用塗料")</f>
        <v>テンドン補修用塗料</v>
      </c>
      <c r="H533" s="38" t="str" cm="1">
        <f t="array" ref="H533">_xlfn.IFS(OR(D515=0,D519="　",MID(D520,1,3)="ｱﾙﾐ",1*MID(D522,1,2)=1,1*MID(D522,1,2)&gt;=5),"",MID(D520,1,3)&lt;&gt;"ｱﾙﾐ","エポキシ樹脂")</f>
        <v>エポキシ樹脂</v>
      </c>
      <c r="I533" s="52" t="str" cm="1">
        <f t="array" ref="I533">_xlfn.IFS(OR(D515=0,D519="　",MID(D520,1,3)="ｱﾙﾐ",1*MID(D522,1,2)=1,1*MID(D522,1,2)&gt;=5),"",MID(D520,1,3)&lt;&gt;"ｱﾙﾐ","W=PC鋼より線本数×"&amp;IF(MID(D519,4,1)="5","0.28","0.4"))</f>
        <v>W=PC鋼より線本数×0.28</v>
      </c>
      <c r="J533" s="16" t="str" cm="1">
        <f t="array" ref="J533">_xlfn.IFS(OR(D515=0,D519="　",MID(D520,1,3)="ｱﾙﾐ",1*MID(D522,1,2)=1,1*MID(D522,1,2)&gt;=5),"",MID(D520,1,3)&lt;&gt;"ｱﾙﾐ","g")</f>
        <v>g</v>
      </c>
      <c r="K533" s="77" cm="1">
        <f t="array" ref="K533">_xlfn.IFS(OR(D515=0,D519="　",MID(D520,1,3)="ｱﾙﾐ",1*MID(D522,1,2)=1,1*MID(D522,1,2)&gt;=5),"",MID(D520,1,3)&lt;&gt;"ｱﾙﾐ",MID(D519,6,FIND("H",D519,6)-6)*IF(MID(D519,4,1)="5",0.28,0.4))</f>
        <v>0.84000000000000008</v>
      </c>
      <c r="L533" s="78">
        <f>IFERROR(D518*K533,"")</f>
        <v>8.4</v>
      </c>
    </row>
    <row r="534" spans="2:12" ht="11.1" customHeight="1">
      <c r="B534" s="65" t="s">
        <v>32</v>
      </c>
      <c r="C534" s="3" t="s">
        <v>33</v>
      </c>
      <c r="D534" s="76"/>
      <c r="F534" s="24">
        <v>20</v>
      </c>
      <c r="G534" s="17" t="str" cm="1">
        <f t="array" ref="G534">_xlfn.IFS(OR(D515=0,D519="　",MID(D520,1,3)="ｱﾙﾐ",1*MID(D522,1,2)=1,1*MID(D522,1,2)&gt;=5),"",MID(D520,1,3)&lt;&gt;"ｱﾙﾐ","長期防錆スプレー")</f>
        <v>長期防錆スプレー</v>
      </c>
      <c r="H534" s="38" t="str" cm="1">
        <f t="array" ref="H534">_xlfn.IFS(OR(D515=0,D519="　",MID(D520,1,3)="ｱﾙﾐ",1*MID(D522,1,2)=1,1*MID(D522,1,2)&gt;=5),"",MID(D520,1,3)&lt;&gt;"ｱﾙﾐ","防錆オイル")</f>
        <v>防錆オイル</v>
      </c>
      <c r="I534" s="52" t="str" cm="1">
        <f t="array" ref="I534">_xlfn.IFS(OR(D515=0,D519="　",MID(D520,1,3)="ｱﾙﾐ",1*MID(D522,1,2)=1,1*MID(D522,1,2)&gt;=5),"",MID(D520,1,3)&lt;&gt;"ｱﾙﾐ","n=0.01×(PC鋼より線本数+"&amp;IF(MID(D519,4,1)="5","6","12")&amp;")")</f>
        <v>n=0.01×(PC鋼より線本数+6)</v>
      </c>
      <c r="J534" s="16" t="str" cm="1">
        <f t="array" ref="J534">_xlfn.IFS(OR(D515=0,D519="　",MID(D520,1,3)="ｱﾙﾐ",1*MID(D522,1,2)=1,1*MID(D522,1,2)&gt;=5),"",MID(D520,1,3)&lt;&gt;"ｱﾙﾐ","缶")</f>
        <v>缶</v>
      </c>
      <c r="K534" s="77" cm="1">
        <f t="array" ref="K534">_xlfn.IFS(OR(D515=0,D519="　",MID(D520,1,3)="ｱﾙﾐ",1*MID(D522,1,2)=1,1*MID(D522,1,2)&gt;=5),"",MID(D520,1,3)&lt;&gt;"ｱﾙﾐ",0.01*(IF(MID(D519,4,1)="5",6,12)+MID(LEFT(D519,LEN(D519)-1),6,2)))</f>
        <v>0.09</v>
      </c>
      <c r="L534" s="78">
        <f>IFERROR(D518*K534,"")</f>
        <v>0.89999999999999991</v>
      </c>
    </row>
    <row r="535" spans="2:12" ht="11.1" customHeight="1">
      <c r="F535" s="24">
        <v>21</v>
      </c>
      <c r="G535" s="17" t="str">
        <f>IF(OR(D515=0,D519="　",1*MID(D522,1,2)&lt;=1,1*MID(D522,1,2)=3,,1*MID(D522,1,2)=6),"","ﾌﾘｰﾊﾟｯｶｰ注入ﾎｰｽ")</f>
        <v/>
      </c>
      <c r="H535" s="29" t="str">
        <f>IF(OR(D515=0,D519="　",1*MID(D522,1,2)&lt;=1,1*MID(D522,1,2)=3,,1*MID(D522,1,2)=6),"","φ16/20、ポリエチレン")</f>
        <v/>
      </c>
      <c r="I535" s="29" t="str">
        <f>IF(OR(D515=0,D519="　",1*MID(D522,1,2)&lt;=1,1*MID(D522,1,2)=3,,1*MID(D522,1,2)=6),"","L=自由長+緊張部長")</f>
        <v/>
      </c>
      <c r="J535" s="16" t="str">
        <f>IF(OR(D515=0,D519="　",1*MID(D522,1,2)&lt;=1,1*MID(D522,1,2)=3,,1*MID(D522,1,2)=6),"","m")</f>
        <v/>
      </c>
      <c r="K535" s="30" t="str">
        <f>IF(OR(D515=0,D519="　",1*MID(D522,1,2)&lt;=1,1*MID(D522,1,2)=3,,1*MID(D522,1,2)=6),"",D529+D530)</f>
        <v/>
      </c>
      <c r="L535" s="67" t="str">
        <f>IFERROR(D518*K535,"")</f>
        <v/>
      </c>
    </row>
    <row r="536" spans="2:12" ht="11.1" customHeight="1">
      <c r="F536" s="24">
        <v>22</v>
      </c>
      <c r="G536" s="17" t="str">
        <f>IF(OR(D515=0,D519="　",1*MID(D522,1,2)&lt;=1,1*MID(D522,1,2)=3,,1*MID(D522,1,2)=6),"","フリーパッカー")</f>
        <v/>
      </c>
      <c r="H536" s="52" t="str" cm="1">
        <f t="array" ref="H536">IF(OR(D515=0,D519="　",1*MID(D522,1,2)&lt;=1,1*MID(D522,1,2)=3,1*MID(D522,1,2)=6),"",_xlfn.SWITCH(D526,90,"PA-170",115,"PA-200",135,"PA-240",146,"PA-290",165,"PA-350",216,"PA-420")&amp;"、織布")</f>
        <v/>
      </c>
      <c r="I536" s="52" t="str">
        <f>IF(OR(D515=0,D519="　",1*MID(D522,1,2)&lt;=1,1*MID(D522,1,2)=3,1*MID(D522,1,2)=6),"","L=自由長+0.5")</f>
        <v/>
      </c>
      <c r="J536" s="16" t="str">
        <f>IF(OR(D515=0,D519="　",1*MID(D522,1,2)&lt;=1,1*MID(D522,1,2)=3,,1*MID(D522,1,2)=6),"","m")</f>
        <v/>
      </c>
      <c r="K536" s="30" t="str">
        <f>IF(OR(D515=0,D519="　",1*MID(D522,1,2)&lt;=1,1*MID(D522,1,2)=3,,1*MID(D522,1,2)=6),"",D529+0.5)</f>
        <v/>
      </c>
      <c r="L536" s="69" t="str">
        <f>IFERROR(D518*K536,"")</f>
        <v/>
      </c>
    </row>
    <row r="537" spans="2:12" ht="11.1" customHeight="1">
      <c r="F537" s="24">
        <v>23</v>
      </c>
      <c r="G537" s="17" t="str">
        <f>IF(OR(D515=0,D519="　",1*MID(D522,1,2)&lt;=1,1*MID(D522,1,2)=3,,1*MID(D522,1,2)=6),"","ﾌﾘｰﾊﾟｯｶｰ取付加工")</f>
        <v/>
      </c>
      <c r="H537" s="29" t="str">
        <f>IF(OR(D515=0,D519="　",1*MID(D522,1,2)&lt;=1,1*MID(D522,1,2)=3,,1*MID(D522,1,2)=6),"","材工")</f>
        <v/>
      </c>
      <c r="I537" s="29" t="str">
        <f>IF(OR(D515=0,D519="　",1*MID(D522,1,2)&lt;=1,1*MID(D522,1,2)=3,,1*MID(D522,1,2)=6),"","n=1")</f>
        <v/>
      </c>
      <c r="J537" s="16" t="str">
        <f>IF(OR(D515=0,D519="　",1*MID(D522,1,2)&lt;=1,1*MID(D522,1,2)=3,,1*MID(D522,1,2)=6),"","式")</f>
        <v/>
      </c>
      <c r="K537" s="32" t="str">
        <f>IF(OR(D515=0,D519="　",1*MID(D522,1,2)&lt;=1,1*MID(D522,1,2)=3,,1*MID(D522,1,2)=6),"",1)</f>
        <v/>
      </c>
      <c r="L537" s="70" t="str">
        <f>IFERROR(D518*K537,"")</f>
        <v/>
      </c>
    </row>
    <row r="538" spans="2:12" ht="11.1" customHeight="1">
      <c r="F538" s="24">
        <v>24</v>
      </c>
      <c r="G538" s="17" t="str">
        <f>IF(OR(D515=0,D519="　",1*MID(D522,1,2)&lt;=2,1*MID(D522,1,2)=5),"","フリクションパッカー")</f>
        <v/>
      </c>
      <c r="H538" s="38" t="str" cm="1">
        <f t="array" ref="H538">IF(OR(D515=0,D519="　",1*MID(D522,1,2)&lt;=2,1*MID(D522,1,2)=5),"",_xlfn.SWITCH(D526,90,"FP125",115,"FP125",135,"FP150",146,"FP175",165,"FP200",216,"FP235")&amp;"、パイレン布")</f>
        <v/>
      </c>
      <c r="I538" s="38" t="str">
        <f>IF(OR(D515=0,D519="　",1*MID(D522,1,2)&lt;=2,1*MID(D522,1,2)=5),"","L=アンカー体長+0.5")</f>
        <v/>
      </c>
      <c r="J538" s="16" t="str">
        <f>IF(OR(D515=0,D519="　",1*MID(D522,1,2)&lt;=2,1*MID(D522,1,2)=5),"","m")</f>
        <v/>
      </c>
      <c r="K538" s="30" t="str">
        <f>IF(OR(D515=0,D519="　",1*MID(D522,1,2)&lt;=2,1*MID(D522,1,2)=5),"",D525+0.5)</f>
        <v/>
      </c>
      <c r="L538" s="68" t="str">
        <f>IFERROR(D518*K538,"")</f>
        <v/>
      </c>
    </row>
    <row r="539" spans="2:12" ht="11.1" customHeight="1">
      <c r="F539" s="24">
        <v>25</v>
      </c>
      <c r="G539" s="17" t="str">
        <f>IF(OR(D515=0,D519="　",1*MID(D522,1,2)&lt;=2,1*MID(D522,1,2)=5),"","ﾌﾘｸｼｮﾝﾊﾟｯｶｰ取付加工")</f>
        <v/>
      </c>
      <c r="H539" s="29" t="str">
        <f>IF(OR(D515=0,D519="　",1*MID(D522,1,2)&lt;=2,1*MID(D522,1,2)=5),"","材工")</f>
        <v/>
      </c>
      <c r="I539" s="29" t="str">
        <f>IF(OR(D515=0,D519="　",1*MID(D522,1,2)&lt;=2,1*MID(D522,1,2)=5),"","n=1")</f>
        <v/>
      </c>
      <c r="J539" s="16" t="str">
        <f>IF(OR(D515=0,D519="　",1*MID(D522,1,2)&lt;=2,1*MID(D522,1,2)=5),"","式")</f>
        <v/>
      </c>
      <c r="K539" s="32" t="str">
        <f>IF(OR(D515=0,D519="　",1*MID(D522,1,2)&lt;=2,1*MID(D522,1,2)=5),"",1)</f>
        <v/>
      </c>
      <c r="L539" s="70" t="str">
        <f>IFERROR(D518*K539,"")</f>
        <v/>
      </c>
    </row>
    <row r="540" spans="2:12" ht="11.1" customHeight="1">
      <c r="F540" s="24">
        <v>26</v>
      </c>
      <c r="G540" s="17" t="str">
        <f>IF(OR(D515=0,D519="　",1*MID(D522,1,2)=0,1*MID(D522,1,2)=2,1*MID(D522,1,2)=3,1*MID(D522,1,2)=4),"","試験ﾊﾟｯｶｰ水注入ﾎｰｽ")</f>
        <v/>
      </c>
      <c r="H540" s="38" t="str">
        <f>IF(OR(D515=0,D519="　",1*MID(D522,1,2)=0,1*MID(D522,1,2)=2,1*MID(D522,1,2)=3,1*MID(D522,1,2)=4),"","φ4/6、ナイロン")</f>
        <v/>
      </c>
      <c r="I540" s="38" t="str">
        <f>IF(OR(D515=0,D519="　",1*MID(D522,1,2)=0,1*MID(D522,1,2)=2,1*MID(D522,1,2)=3,1*MID(D522,1,2)=4),"","L=自由長+緊張部長")</f>
        <v/>
      </c>
      <c r="J540" s="79" t="str">
        <f>IF(OR(D515=0,D519="　",1*MID(D522,1,2)=0,1*MID(D522,1,2)=2,1*MID(D522,1,2)=3,1*MID(D522,1,2)=4),"","m")</f>
        <v/>
      </c>
      <c r="K540" s="80" t="str">
        <f>IF(OR(D515=0,D519="　",1*MID(D522,1,2)=0,1*MID(D522,1,2)=2,1*MID(D522,1,2)=3,1*MID(D522,1,2)=4),"",D529+D530)</f>
        <v/>
      </c>
      <c r="L540" s="81" t="str">
        <f>IFERROR(D518*K540,"")</f>
        <v/>
      </c>
    </row>
    <row r="541" spans="2:12" ht="11.1" customHeight="1">
      <c r="F541" s="24">
        <v>27</v>
      </c>
      <c r="G541" s="17" t="str">
        <f>IF(OR(D515=0,D519="　",1*MID(D522,1,2)=0,1*MID(D522,1,2)=2,1*MID(D522,1,2)=3,1*MID(D522,1,2)=4),"","引抜試験パッカー")</f>
        <v/>
      </c>
      <c r="H541" s="38" t="str" cm="1">
        <f t="array" ref="H541">IF(OR(D515=0,D519="　",1*MID(D522,1,2)=0,1*MID(D522,1,2)=2,1*MID(D522,1,2)=3,1*MID(D522,1,2)=4),"",_xlfn.SWITCH(D526,90,"PU90",115,"PU115",135,"PU135",146,"PU146",165,"PU165")&amp;"、3層構造(鋼管･ゴム･布)")</f>
        <v/>
      </c>
      <c r="I541" s="38" t="str">
        <f>IF(OR(D515=0,D519="　",1*MID(D522,1,2)=0,1*MID(D522,1,2)=2,1*MID(D522,1,2)=3,1*MID(D522,1,2)=4),"","n=1")</f>
        <v/>
      </c>
      <c r="J541" s="79" t="str">
        <f>IF(OR(D515=0,D519="　",1*MID(D522,1,2)=0,1*MID(D522,1,2)=2,1*MID(D522,1,2)=3,1*MID(D522,1,2)=4),"","式")</f>
        <v/>
      </c>
      <c r="K541" s="32" t="str" cm="1">
        <f t="array" ref="K541">IF(OR(D515=0,D519="　",1*MID(D522,1,2)=0,1*MID(D522,1,2)=2,1*MID(D522,1,2)=3,1*MID(D522,1,2)=4),"",_xlfn.IFS(OR(1*MID(D522,1,2)=1,1*MID(D522,1,2)&gt;=5),1))</f>
        <v/>
      </c>
      <c r="L541" s="68" t="str">
        <f>IFERROR(D518*K541,"")</f>
        <v/>
      </c>
    </row>
    <row r="542" spans="2:12" ht="11.1" customHeight="1">
      <c r="F542" s="24">
        <v>28</v>
      </c>
      <c r="G542" s="17" t="str">
        <f>IF(OR(D515=0,D519="　",1*MID(D522,1,2)=0,1*MID(D522,1,2)=2,1*MID(D522,1,2)=3,1*MID(D522,1,2)=4),"","引抜試験パッカー取付加工")</f>
        <v/>
      </c>
      <c r="H542" s="38" t="str">
        <f>IF(OR(D515=0,D519="　",1*MID(D522,1,2)=0,1*MID(D522,1,2)=2,1*MID(D522,1,2)=3,1*MID(D522,1,2)=4),"","材工")</f>
        <v/>
      </c>
      <c r="I542" s="38" t="str">
        <f>IF(OR(D515=0,D519="　",1*MID(D522,1,2)=0,1*MID(D522,1,2)=2,1*MID(D522,1,2)=3,1*MID(D522,1,2)=4),"","n=1")</f>
        <v/>
      </c>
      <c r="J542" s="79" t="str" cm="1">
        <f t="array" ref="J542">IF(OR(D515=0,D519="　",1*MID(D522,1,2)=0,1*MID(D522,1,2)=2,1*MID(D522,1,2)=3,1*MID(D522,1,2)=4),"",_xlfn.IFS(OR(1*MID(D522,1,2)=1,1*MID(D522,1,2)&gt;=5),"式"))</f>
        <v/>
      </c>
      <c r="K542" s="32" t="str" cm="1">
        <f t="array" ref="K542">IF(OR(D515=0,D519="　",1*MID(D522,1,2)=0,1*MID(D522,1,2)=2,1*MID(D522,1,2)=3,1*MID(D522,1,2)=4),"",_xlfn.IFS(OR(1*MID(D522,1,2)=1,1*MID(D522,1,2)&gt;=5),1))</f>
        <v/>
      </c>
      <c r="L542" s="68" t="str">
        <f>IFERROR(D518*K542,"")</f>
        <v/>
      </c>
    </row>
    <row r="543" spans="2:12" ht="11.1" customHeight="1">
      <c r="F543" s="24">
        <v>29</v>
      </c>
      <c r="G543" s="17" t="str">
        <f>IF(OR(D515=0,D519="　",1*MID(D522,1,2)=0,1*MID(D522,1,2)=2,1*MID(D522,1,2)=3,1*MID(D522,1,2)=4),"","自由長洗浄ﾎｰｽ")</f>
        <v/>
      </c>
      <c r="H543" s="38" t="str">
        <f>IF(OR(D515=0,D519="　",1*MID(D522,1,2)=0,1*MID(D522,1,2)=2,1*MID(D522,1,2)=3,1*MID(D522,1,2)=4),"","φ16/20、ポリエチレン")</f>
        <v/>
      </c>
      <c r="I543" s="38" t="str">
        <f>IF(OR(D515=0,D519="　",1*MID(D522,1,2)=0,1*MID(D522,1,2)=2,1*MID(D522,1,2)=3,1*MID(D522,1,2)=4),"","L=自由長+0.5")</f>
        <v/>
      </c>
      <c r="J543" s="79" t="str">
        <f>IF(OR(D515=0,D519="　",1*MID(D522,1,2)=0,1*MID(D522,1,2)=2,1*MID(D522,1,2)=3,1*MID(D522,1,2)=4),"","m")</f>
        <v/>
      </c>
      <c r="K543" s="32" t="str">
        <f>IF(OR(D515=0,D519="　",1*MID(D522,1,2)=0,1*MID(D522,1,2)=2,1*MID(D522,1,2)=3,1*MID(D522,1,2)=4),"",D529+0.5)</f>
        <v/>
      </c>
      <c r="L543" s="81" t="str">
        <f>IFERROR(D518*K543,"")</f>
        <v/>
      </c>
    </row>
    <row r="544" spans="2:12" ht="11.1" customHeight="1">
      <c r="D544" s="1" t="s">
        <v>9</v>
      </c>
      <c r="F544" s="56">
        <v>30</v>
      </c>
      <c r="G544" s="82" t="str">
        <f>IF(OR(D515=0,D519="　",1*MID(D522,1,2)&lt;=2,1*MID(D522,1,2)=5,MID(D544,6,2)&lt;&gt;"あり"),"","確認ホース")</f>
        <v/>
      </c>
      <c r="H544" s="83" t="str">
        <f>IF(OR(D515=0,D519="　",1*MID(D522,1,2)&lt;=2,1*MID(D522,1,2)=5,MID(D544,6,2)&lt;&gt;"あり"),"","φ17、ポリエチレン")</f>
        <v/>
      </c>
      <c r="I544" s="83"/>
      <c r="J544" s="84" t="str">
        <f>IF(OR(D515=0,D519="　",1*MID(D522,1,2)&lt;=2,1*MID(D522,1,2)=5,MID(D544,6,2)&lt;&gt;"あり"),"","m")</f>
        <v/>
      </c>
      <c r="K544" s="85" t="str">
        <f>IF(OR(D514=0,D519="　",1*MID(D522,1,2)&lt;=2,1*MID(D522,1,2)=5,MID(D544,6,2)&lt;&gt;"あり"),"",0.5+MROUND(D529+D531,0.1))</f>
        <v/>
      </c>
      <c r="L544" s="86" t="str">
        <f>IFERROR(D518*K544,"")</f>
        <v/>
      </c>
    </row>
    <row r="546" spans="2:12" ht="11.1" customHeight="1">
      <c r="B546" s="19" t="s">
        <v>1</v>
      </c>
      <c r="D546" s="4"/>
      <c r="G546" s="73" t="s">
        <v>39</v>
      </c>
    </row>
    <row r="547" spans="2:12" ht="11.1" customHeight="1">
      <c r="G547" s="99">
        <f>D548</f>
        <v>17</v>
      </c>
      <c r="H547" s="55" t="str">
        <f>IF(D549=0,"",D550&amp;" "&amp;D553&amp; "："&amp;TEXT(D566,"L=##0.00")&amp;"m"&amp;TEXT(D564,",L1=##0.00")&amp;"m"&amp;TEXT(D563,",Lf=##0.00")&amp;"m"&amp;TEXT(D559,",LA=##0.00")&amp;"m"&amp;TEXT(D565,",L2=##0.00")&amp;"m")</f>
        <v>(17)1段/2段 EHD5-3H：L=17.20m,L1=1.00m,Lf=9.00m,LA=7.00m,L2=0.20m</v>
      </c>
      <c r="I547" s="55"/>
      <c r="J547" s="18"/>
    </row>
    <row r="548" spans="2:12" ht="11.1" customHeight="1">
      <c r="B548" s="13" t="s">
        <v>2</v>
      </c>
      <c r="C548" s="3" t="s">
        <v>3</v>
      </c>
      <c r="D548" s="98">
        <f>1+(ROW()-ROW($D$4))/34</f>
        <v>17</v>
      </c>
      <c r="F548" s="20"/>
      <c r="G548" s="21" t="s">
        <v>21</v>
      </c>
      <c r="H548" s="22" t="s">
        <v>22</v>
      </c>
      <c r="I548" s="22" t="s">
        <v>38</v>
      </c>
      <c r="J548" s="23" t="s">
        <v>23</v>
      </c>
      <c r="K548" s="22" t="s">
        <v>24</v>
      </c>
      <c r="L548" s="3" t="s">
        <v>4</v>
      </c>
    </row>
    <row r="549" spans="2:12" ht="11.1" customHeight="1">
      <c r="B549" s="28" t="s">
        <v>25</v>
      </c>
      <c r="C549" s="5" t="s">
        <v>26</v>
      </c>
      <c r="D549" s="6">
        <v>1</v>
      </c>
      <c r="F549" s="24">
        <v>1</v>
      </c>
      <c r="G549" s="25" t="str">
        <f>IF(OR(D549=0,D553="　"),"","硅砂付着ECFﾃﾝﾄﾞﾝ")</f>
        <v>硅砂付着ECFﾃﾝﾄﾞﾝ</v>
      </c>
      <c r="H549" s="26" t="str">
        <f>IF(OR(D549=0,D553="　"),"",D553&amp;" ("&amp;MID(D553,6,FIND("H",D553,6)-6)&amp;IF(MID(D553,4,1)="5","φ12.7","φ15.2")&amp;")")</f>
        <v>EHD5-3H (3φ12.7)</v>
      </c>
      <c r="I549" s="57" t="str">
        <f>IF(OR(D549=0,D553="　"),"","W=テンドン長×PC鋼より線本数×"&amp;IF(MID(D553,4,1)="5","0.774","1.101")&amp;"kg/m")</f>
        <v>W=テンドン長×PC鋼より線本数×0.774kg/m</v>
      </c>
      <c r="J549" s="14" t="str">
        <f>IF(OR(D549=0,D553="　"),"","kg")</f>
        <v>kg</v>
      </c>
      <c r="K549" s="27">
        <f>IF(OR(D549=0,D553="　"),"",MROUND(D566*MID(D553,6,FIND("H",D553,6)-6)*IF(MID(D553,4,1)="5","0.774","1.101"),0.01))</f>
        <v>39.94</v>
      </c>
      <c r="L549" s="15">
        <f>IFERROR(D552*K549,"")</f>
        <v>399.4</v>
      </c>
    </row>
    <row r="550" spans="2:12" ht="11.1" customHeight="1">
      <c r="B550" s="31" t="s">
        <v>45</v>
      </c>
      <c r="C550" s="71" t="s">
        <v>6</v>
      </c>
      <c r="D550" s="74" t="s">
        <v>103</v>
      </c>
      <c r="F550" s="24">
        <v>2</v>
      </c>
      <c r="G550" s="17" t="str">
        <f>IF(OR(D549=0,D553="　"),"","アンカー工場加工")</f>
        <v>アンカー工場加工</v>
      </c>
      <c r="H550" s="29"/>
      <c r="I550" s="46" t="str">
        <f>IF(OR(D549=0,D553="　"),"","L=テンドン長")</f>
        <v>L=テンドン長</v>
      </c>
      <c r="J550" s="16" t="str">
        <f>IF(OR(D549=0,D553="　"),"","m")</f>
        <v>m</v>
      </c>
      <c r="K550" s="30">
        <f>IF(OR(D549=0,D553="　"),"",MROUND(D566,0.1))</f>
        <v>17.2</v>
      </c>
      <c r="L550" s="67">
        <f>IFERROR(D552*K550,"")</f>
        <v>172</v>
      </c>
    </row>
    <row r="551" spans="2:12" ht="11.1" customHeight="1">
      <c r="B551" s="34" t="s">
        <v>7</v>
      </c>
      <c r="C551" s="49" t="s">
        <v>6</v>
      </c>
      <c r="D551" s="2" t="s">
        <v>34</v>
      </c>
      <c r="F551" s="24">
        <v>3</v>
      </c>
      <c r="G551" s="17" t="str">
        <f>IF(OR(D549=0,D553="　",1*MID(D556,1,2)=1,1*MID(D556,1,2)&gt;=5),"","頭部キャップ")</f>
        <v>頭部キャップ</v>
      </c>
      <c r="H551" s="29" t="str" cm="1">
        <f t="array" ref="H551">IF(OR(D549=0,D553="　",1*MID(D556,1,2)=1,1*MID(D556,1,2)&gt;=5),"",IF(MID(D553,4,1)="5",_xlfn.SWITCH(1*MID(D553,6,FIND("H",D553,6)-6),1,"S",2,"S",3,"S",4,"S",5,"M",6,"M",7,"M",8,"L",9,"L",10,"L",11,"L",12,"L"),_xlfn.SWITCH(1*MID(D553,6,FIND("H",D553,6)-6),1,"S",2,"S",3,"M",4,"M",5,"L",6,"L",7,"L",8,"LL",9,"LL",10,"LL",11,"LL",12,"LL",13,"LL",14,"LL",15,"3L",16,"3L",17,"3L",18,"3L",19,"3L"))&amp;"型"&amp;MID(D554,IF(MID(D554,1,1)="G",4,1),10)&amp;IF(OR(MID(D554,1,2)="透明",MID(D554,1,2)="5窓"),"、PC樹脂","")&amp;IF(MID(D554,4,2)="鋼製","、SS400相当、HDZT77めっき","、ｱﾙﾐAC4C相当"))&amp;_xlfn.IFS(OR(D549=0,D553="　",MID(D551,1,3)="防食Ⅱ"),"",MID(D551,5,2)="塩害","、ﾀｹｺｰﾄ処理",MID(D551,5,2)="酸性","、重防食処理")</f>
        <v>S型透明ｷｬｯﾌﾟ、PC樹脂、ｱﾙﾐAC4C相当</v>
      </c>
      <c r="I551" s="52" t="str">
        <f>IF(OR(D549=0,D553="　",1*MID(D556,1,2)=1,1*MID(D556,1,2)&gt;=5),"","n=1")</f>
        <v>n=1</v>
      </c>
      <c r="J551" s="16" t="str">
        <f>IF(OR(D549=0,D553="　",1*MID(D556,1,2)=1,1*MID(D556,1,2)&gt;=5),"","個")</f>
        <v>個</v>
      </c>
      <c r="K551" s="32">
        <f>IF(OR(D549=0,D553="　",1*MID(D556,1,2)=1,1*MID(D556,1,2)&gt;=5),"",1)</f>
        <v>1</v>
      </c>
      <c r="L551" s="68">
        <f>IFERROR(D552*K551,"")</f>
        <v>10</v>
      </c>
    </row>
    <row r="552" spans="2:12" ht="11.1" customHeight="1">
      <c r="B552" s="31" t="s">
        <v>27</v>
      </c>
      <c r="C552" s="10" t="s">
        <v>5</v>
      </c>
      <c r="D552" s="75">
        <v>10</v>
      </c>
      <c r="F552" s="24">
        <v>4</v>
      </c>
      <c r="G552" s="17" t="str">
        <f>IF(OR(D549=0,D553="　",1*MID(D556,1,2)=1,1*MID(D556,1,2)&gt;=5),"","アンカーヘッド")</f>
        <v>アンカーヘッド</v>
      </c>
      <c r="H552" s="29" t="str" cm="1">
        <f t="array" ref="H552">IF(OR(D549=0,D553="　",1*MID(D556,1,2)=1,1*MID(D556,1,2)&gt;=5),"",IF(MID(D553,4,1)="5","G5"&amp;_xlfn.SWITCH(1*MID(D553,6,FIND("H",D553,6)-6),1,"01",2,"02",3,"03",4,"04",5,"07",6,"07",7,"07",8,"09",9,"09",10,"12",11,"12",12,"12"),"G6"&amp;_xlfn.SWITCH(1*MID(D553,6,FIND("H",D553,6)-6),1,"01",2,"02",3,"03",4,"04",5,"07",6,"07",7,"07",8,"09",9,"09",10,"12",11,"12",12,"12",13,"14",14,"14",15,"19",16,"19",17,"19",18,"19",19,"19"))&amp;"、S45C相当")&amp;IF(OR(D549=0,D553="　",MID(D554,1,3)="ｱﾙﾐ",1*MID(D556,1,2)=1,1*MID(D556,1,2)&gt;=5),"","、無電解Niめっき")</f>
        <v>G503、S45C相当、無電解Niめっき</v>
      </c>
      <c r="I552" s="52" t="str">
        <f>IF(OR(D549=0,D553="　",1*MID(D556,1,2)=1,1*MID(D556,1,2)&gt;=5),"","n=1")</f>
        <v>n=1</v>
      </c>
      <c r="J552" s="16" t="str">
        <f>IF(OR(D549=0,D553="　",1*MID(D556,1,2)=1,1*MID(D556,1,2)&gt;=5),"","個")</f>
        <v>個</v>
      </c>
      <c r="K552" s="32">
        <f>IF(OR(D549=0,D553="　",1*MID(D556,1,2)=1,1*MID(D556,1,2)&gt;=5),"",1)</f>
        <v>1</v>
      </c>
      <c r="L552" s="68">
        <f>IFERROR(D552*K552,"")</f>
        <v>10</v>
      </c>
    </row>
    <row r="553" spans="2:12" ht="11.1" customHeight="1">
      <c r="B553" s="33" t="s">
        <v>28</v>
      </c>
      <c r="C553" s="71" t="s">
        <v>6</v>
      </c>
      <c r="D553" s="7" t="s">
        <v>0</v>
      </c>
      <c r="F553" s="24">
        <v>5</v>
      </c>
      <c r="G553" s="17" t="str">
        <f>IF(OR(D549=0,D553="　",1*MID(D556,1,2)=1,1*MID(D556,1,2)&gt;=5),"","ナット")</f>
        <v>ナット</v>
      </c>
      <c r="H553" s="29" t="str" cm="1">
        <f t="array" ref="H553">IF(OR(D549=0,D553="　",1*MID(D556,1,2)=1,1*MID(D556,1,2)&gt;=5),"",IF(MID(D553,4,1)="5","G5"&amp;_xlfn.SWITCH(1*MID(D553,6,FIND("H",D553,6)-6),1,"01",2,"02",3,"03",4,"04",5,"07",6,"07",7,"07",8,"09",9,"09",10,"12",11,"12",12,"12"),"G6"&amp;_xlfn.SWITCH(1*MID(D553,6,FIND("H",D553,6)-6),1,"01",2,"02",3,"03",4,"04",5,"07",6,"07",7,"07",8,"09",9,"09",10,"12",11,"12",12,"12",13,"14",14,"14",15,"19",16,"19",17,"19",18,"19",19,"19"))&amp;"、S45C相当")&amp;IF(OR(D549=0,D553="　",MID(D554,1,3)="ｱﾙﾐ",1*MID(D556,1,2)=1,1*MID(D556,1,2)&gt;=5),"","、無電解Niめっき")</f>
        <v>G503、S45C相当、無電解Niめっき</v>
      </c>
      <c r="I553" s="52" t="str">
        <f>IF(OR(D549=0,D553="　",1*MID(D556,1,2)=1,1*MID(D556,1,2)&gt;=5),"","n=1")</f>
        <v>n=1</v>
      </c>
      <c r="J553" s="16" t="str">
        <f>IF(OR(D549=0,D553="　",1*MID(D556,1,2)=1,1*MID(D556,1,2)&gt;=5),"","個")</f>
        <v>個</v>
      </c>
      <c r="K553" s="32">
        <f>IF(OR(D549=0,D553="　",1*MID(D556,1,2)=1,1*MID(D556,1,2)&gt;=5),"",1)</f>
        <v>1</v>
      </c>
      <c r="L553" s="68">
        <f>IFERROR(D552*K553,"")</f>
        <v>10</v>
      </c>
    </row>
    <row r="554" spans="2:12" ht="11.1" customHeight="1">
      <c r="B554" s="35" t="s">
        <v>29</v>
      </c>
      <c r="C554" s="49" t="s">
        <v>6</v>
      </c>
      <c r="D554" s="2" t="s">
        <v>35</v>
      </c>
      <c r="F554" s="24">
        <v>6</v>
      </c>
      <c r="G554" s="17" t="str">
        <f>IF(OR(D549=0,D553="　",1*MID(D556,1,2)=1,1*MID(D556,1,2)&gt;=5),"","くさび")</f>
        <v>くさび</v>
      </c>
      <c r="H554" s="29" t="str">
        <f>IF(OR(D549=0,D553="　",1*MID(D556,1,2)=1,1*MID(D556,1,2)&gt;=5),"",IF(1*MID(D553,4,1)=5,"ECF12.7","ECF15.2")&amp;"、SCM415相当")&amp;IF(OR(D549=0,D553="　",MID(D554,1,3)="ｱﾙﾐ",1*MID(D556,1,2)=1,1*MID(D556,1,2)&gt;=5),"","、無電解Niめっき")</f>
        <v>ECF12.7、SCM415相当、無電解Niめっき</v>
      </c>
      <c r="I554" s="52" t="str">
        <f>IF(OR(D549=0,D553="　",1*MID(D556,1,2)=1,1*MID(D556,1,2)&gt;=5),"","n=1")</f>
        <v>n=1</v>
      </c>
      <c r="J554" s="16" t="str">
        <f>IF(OR(D549=0,D553="　",1*MID(D556,1,2)=1,1*MID(D556,1,2)&gt;=5),"","式")</f>
        <v>式</v>
      </c>
      <c r="K554" s="32">
        <f>IF(OR(D549=0,D553="　",1*MID(D556,1,2)=1,1*MID(D556,1,2)&gt;=5),"",1)</f>
        <v>1</v>
      </c>
      <c r="L554" s="68">
        <f>IFERROR(D552*K554,"")</f>
        <v>10</v>
      </c>
    </row>
    <row r="555" spans="2:12" ht="11.1" customHeight="1">
      <c r="B555" s="35" t="s">
        <v>8</v>
      </c>
      <c r="C555" s="49" t="s">
        <v>6</v>
      </c>
      <c r="D555" s="2" t="s">
        <v>36</v>
      </c>
      <c r="F555" s="24">
        <v>7</v>
      </c>
      <c r="G555" s="17" t="str">
        <f>IF(OR(D549=0,D553="　",1*MID(D556,1,2)=1,1*MID(D556,1,2)&gt;=5),"","押え板")</f>
        <v>押え板</v>
      </c>
      <c r="H555" s="29" t="str" cm="1">
        <f t="array" ref="H555">IF(OR(D549=0,D553="　",1*MID(D556,1,2)=1,1*MID(D556,1,2)&gt;=5),"",IF(MID(D553,4,1)="5","G5"&amp;_xlfn.SWITCH(1*MID(D553,6,FIND("H",D553,6)-6),1,"01",2,"04",3,"03",4,"04",5,"07",6,"07",7,"07",8,"12",9,"12",10,"12",11,"12",12,"12"),"G6"&amp;_xlfn.SWITCH(1*MID(D553,6,FIND("H",D553,6)-6),1,"01",2,"02",3,"03",4,"04",5,"07",6,"07",7,"07",8,"12",9,"12",10,"12",11,"12",12,"12",13,"14",14,"14",15,"19",16,"19",17,"19",18,"19",19,"19"))&amp;"、SS400相当")&amp;IF(OR(D549=0,D553="　",1*MID(D556,1,2)=1,1*MID(D556,1,2)&gt;=5),"","、"&amp;_xlfn.IFS(MID(D551,1,3)="防食Ⅱ","HDZT77めっき",MID(D551,5,2)="塩害","ｱﾙﾐﾅｲｽﾞ処理",MID(D551,5,2)="酸性","重防食処理"))</f>
        <v>G503、SS400相当、HDZT77めっき</v>
      </c>
      <c r="I555" s="52" t="str">
        <f>IF(OR(D549=0,D553="　",1*MID(D556,1,2)=1,1*MID(D556,1,2)&gt;=5),"","n=1")</f>
        <v>n=1</v>
      </c>
      <c r="J555" s="16" t="str">
        <f>IF(OR(D549=0,D553="　",1*MID(D556,1,2)=1,1*MID(D556,1,2)&gt;=5),"","枚")</f>
        <v>枚</v>
      </c>
      <c r="K555" s="32">
        <f>IF(OR(D549=0,D553="　",1*MID(D556,1,2)=1,1*MID(D556,1,2)&gt;=5),"",1)</f>
        <v>1</v>
      </c>
      <c r="L555" s="68">
        <f>IFERROR(D552*K555,"")</f>
        <v>10</v>
      </c>
    </row>
    <row r="556" spans="2:12" ht="11.1" customHeight="1">
      <c r="B556" s="36" t="s">
        <v>87</v>
      </c>
      <c r="C556" s="72" t="s">
        <v>6</v>
      </c>
      <c r="D556" s="8" t="s">
        <v>42</v>
      </c>
      <c r="F556" s="24">
        <v>8</v>
      </c>
      <c r="G556" s="17" t="str">
        <f>IF(OR(D549=0,D553="　"),"",IF(OR(1*MID(D556,1,2)=1,1*MID(D556,1,2)&gt;=5,MID(D555,1,3)&lt;&gt;"のり面"),"","管付")&amp;"支圧板")</f>
        <v>管付支圧板</v>
      </c>
      <c r="H556" s="29" t="str" cm="1">
        <f t="array" ref="H556">IF(OR(D549=0,D553="　"),"","PL"&amp;IF(OR(1*MID(D556,1,2)=1,1*MID(D556,1,2)&gt;=5,MID(D555,1,3)&lt;&gt;"のり面"),"","P")&amp;IF(MID(D553,4,1)="5","5-"&amp;_xlfn.SWITCH(1*MID(D553,6,FIND("H",D553,6)-6),1,"1",2,"2",3,"3",4,"4",5,"5",6,"6",7,"7",8,"9",9,"9",10,"10",11,"11",12,"12"),"6-"&amp;_xlfn.SWITCH(1*MID(D553,6,FIND("H",D553,6)-6),1,"1",2,"2",3,"3",4,"4",5,"6",6,"6",7,"7",8,"8",9,"9",10,"10",11,"11",12,"12",13,"14",14,"14",15,"16",16,"16",17,"17",18,"18",19,"19"))&amp;"、SS400相当")&amp;IF(OR(D549=0,D553="　"),"","、"&amp;_xlfn.IFS(MID(D551,1,3)="防食Ⅱ","HDZT77めっき",MID(D551,5,2)="塩害","ｱﾙﾐﾅｲｽﾞ処理",MID(D551,5,2)="酸性","重防食処理"))</f>
        <v>PLP5-3、SS400相当、HDZT77めっき</v>
      </c>
      <c r="I556" s="52" t="str">
        <f>IF(OR(D549=0,D553="　"),"","n=1")</f>
        <v>n=1</v>
      </c>
      <c r="J556" s="16" t="str">
        <f>IF(OR(D549=0,D553="　"),"","枚")</f>
        <v>枚</v>
      </c>
      <c r="K556" s="32">
        <f>IF(OR(D549=0,D553="　"),"",1)</f>
        <v>1</v>
      </c>
      <c r="L556" s="68">
        <f>IFERROR(D552*K556,"")</f>
        <v>10</v>
      </c>
    </row>
    <row r="557" spans="2:12" ht="11.1" customHeight="1">
      <c r="B557" s="37" t="str" cm="1">
        <f t="array" ref="B557">"頭部自由長"&amp;_xlfn.IFS(MID(D555,1,2)="なし","",MID(D555,1,3)="受圧体","(受圧体)",MID(D555,1,3)="のり面","(角度台座＋受圧体)",MID(D555,1,3)="構造物","(壁面台座)",MID(D555,1,3)="土留め","(台座+腹起し)",MID(D555,1,3)="個別台","(個別台座+腹起し)")&amp;"　Lfh"</f>
        <v>頭部自由長(角度台座＋受圧体)　Lfh</v>
      </c>
      <c r="C557" s="9" t="s">
        <v>10</v>
      </c>
      <c r="D557" s="75">
        <v>0.5</v>
      </c>
      <c r="F557" s="24">
        <v>9</v>
      </c>
      <c r="G557" s="17" t="str">
        <f>IF(OR(D549=0,D553="　",1*MID(D556,1,2)=1,1*MID(D556,1,2)&gt;=5),"","止水ゴム")</f>
        <v>止水ゴム</v>
      </c>
      <c r="H557" s="29" t="str">
        <f>IF(OR(D549=0,D553="　",1*MID(D556,1,2)=1,1*MID(D556,1,2)&gt;=5),"","G"&amp;MID(D553,4,4)&amp;"、NBR45相当")</f>
        <v>G5-3H、NBR45相当</v>
      </c>
      <c r="I557" s="52" t="str">
        <f>IF(OR(D549=0,D553="　",1*MID(D556,1,2)=1,1*MID(D556,1,2)&gt;=5),"","n=1")</f>
        <v>n=1</v>
      </c>
      <c r="J557" s="16" t="str">
        <f>IF(OR(D549=0,D553="　",1*MID(D556,1,2)=1,1*MID(D556,1,2)&gt;=5),"","個")</f>
        <v>個</v>
      </c>
      <c r="K557" s="32">
        <f>IF(OR(D549=0,D553="　",1*MID(D556,1,2)=1,1*MID(D556,1,2)&gt;=5),"",1)</f>
        <v>1</v>
      </c>
      <c r="L557" s="68">
        <f>IFERROR(D552*K557,"")</f>
        <v>10</v>
      </c>
    </row>
    <row r="558" spans="2:12" ht="11.1" customHeight="1">
      <c r="B558" s="31" t="s">
        <v>11</v>
      </c>
      <c r="C558" s="10" t="s">
        <v>10</v>
      </c>
      <c r="D558" s="75">
        <v>8.5</v>
      </c>
      <c r="F558" s="24">
        <v>10</v>
      </c>
      <c r="G558" s="17" t="str" cm="1">
        <f t="array" ref="G558">IF(OR(D549=0,D553="　",1*MID(D556,1,2)=1,1*MID(D556,1,2)&gt;=5),"",_xlfn.IFS(MID(D554,1,3)="ｱﾙﾐ","頭部防錆油",MID(D554,1,3)&lt;&gt;"ｱﾙﾐ","余長キャップ"))</f>
        <v>余長キャップ</v>
      </c>
      <c r="H558" s="29" t="str" cm="1">
        <f t="array" ref="H558">_xlfn.IFS(OR(D549=0,D553="　",1*MID(D556,1,2)=1,1*MID(D556,1,2)&gt;=5),"",MID(D554,1,3)="ｱﾙﾐ","PCコートC",MID(D554,1,3)&lt;&gt;"ｱﾙﾐ","TC"&amp;MID(D553,4,1)&amp;"、高密度ポリエチレン")</f>
        <v>TC5、高密度ポリエチレン</v>
      </c>
      <c r="I558" s="52" t="str" cm="1">
        <f t="array" ref="I558">_xlfn.IFS(OR(D549=0,D553="　",1*MID(D556,1,2)=1,1*MID(D556,1,2)&gt;=5),"",MID(D554,1,3)="ｱﾙﾐ","W="&amp;IF(MID(D553,4,1)="5",_xlfn.SWITCH(1*MID(LEFT(D553, LEN(D553)-1),6,2),1,1.9,2,1.3,3,1.3,4,1.3,5,1.6,6,1.6,7,1.6,8,3.1,9,3.1,10,3.1,11,3.1,12,3.1),"G6"&amp;_xlfn.SWITCH(1*MID(LEFT(D553, LEN(D553)-1),6,2),1,1.8,2,1.3,3,1.8,4,1.8,5,3.3,6,3.3,7,3.3,8,9.9,9,9.9,10,9.9,11,9.9,12,9.9,13,9.9,14,9.9)),MID(D554,1,3)&lt;&gt;"ｱﾙﾐ","n=1")</f>
        <v>n=1</v>
      </c>
      <c r="J558" s="16" t="str" cm="1">
        <f t="array" ref="J558">_xlfn.IFS(OR(D549=0,D553="　",1*MID(D556,1,2)=1,1*MID(D556,1,2)&gt;=5),"",MID(D554,1,3)="ｱﾙﾐ","kg",MID(D554,1,3)&lt;&gt;"ｱﾙﾐ","式")</f>
        <v>式</v>
      </c>
      <c r="K558" s="80" cm="1">
        <f t="array" ref="K558">_xlfn.IFS(OR(D549=0,D553="　",1*MID(D556,1,2)=1,1*MID(D556,1,2)&gt;=5),"",MID(D554,1,3)="ｱﾙﾐ",_xlfn.SWITCH(MID(D553,4,1),"5",_xlfn.SWITCH(1*MID(D553,6,FIND("H",D553,6)-6),1,1.9,2,1.3,3,1.3,4,1.3,5,1.6,6,1.6,7,1.6,8,3.1,9,3.1,10,3.1,11,3.1,12,3.1),"6",_xlfn.SWITCH(1*MID(D553,6,FIND("H",D553,6)-6),1,1.8,2,1.3,3,1.8,4,1.8,5,3.3,6,3.3,7,3.3,8,9.9,9,9.9,10,9.9,11,9.9,12,9.9,13,9.9,14,9.9)),MID(D554,1,3)&lt;&gt;"ｱﾙﾐ",1)</f>
        <v>1</v>
      </c>
      <c r="L558" s="68">
        <f>IFERROR(D552*K558,"")</f>
        <v>10</v>
      </c>
    </row>
    <row r="559" spans="2:12" ht="11.1" customHeight="1">
      <c r="B559" s="39" t="s">
        <v>18</v>
      </c>
      <c r="C559" s="40" t="s">
        <v>10</v>
      </c>
      <c r="D559" s="75">
        <v>7</v>
      </c>
      <c r="F559" s="24">
        <v>11</v>
      </c>
      <c r="G559" s="17" t="str">
        <f>IF(OR(D549=0,D553="　",1*MID(D556,1,2)=1,1*MID(D556,1,2)&gt;=5),"","配列スペーサ")</f>
        <v>配列スペーサ</v>
      </c>
      <c r="H559" s="29" t="str">
        <f>IF(OR(D549=0,D553="　",1*MID(D556,1,2)=1,1*MID(D556,1,2)&gt;=5),"",IF(MID(D553,4,1)="5","PS5-"&amp;_xlfn.SWITCH(1*MID(D553,6,FIND("H",D553,6)-6),1,"7",2,"2",3,"3",4,"4",5,"7",6,"7",7,"7",8,"12",9,"12",10,"12",11,"12",12,"12"),"PS6-"&amp;_xlfn.SWITCH(1*MID(D553,6,FIND("H",D553,6)-6),1,"7",2,"2",3,"3",4,"4",5,"7",6,"7",7,"7",8,"12",9,"12",10,"12",11,"12",12,"12",13,"14",14,"14",15,"19",16,"19",17,"19",18,"19",19,"19"))&amp;"、ポリエチレン")</f>
        <v>PS5-3、ポリエチレン</v>
      </c>
      <c r="I559" s="52" t="str">
        <f>IF(OR(D549=0,D553="　",1*MID(D556,1,2)=1,1*MID(D556,1,2)&gt;=5),"","n=2")</f>
        <v>n=2</v>
      </c>
      <c r="J559" s="16" t="str">
        <f>IF(OR(D549=0,D553="　",1*MID(D556,1,2)=1,1*MID(D556,1,2)&gt;=5),"","個")</f>
        <v>個</v>
      </c>
      <c r="K559" s="32">
        <f>IF(OR(D549=0,D553="　",1*MID(D556,1,2)=1,1*MID(D556,1,2)&gt;=5),"",2)</f>
        <v>2</v>
      </c>
      <c r="L559" s="68">
        <f>IFERROR(D552*K559,"")</f>
        <v>20</v>
      </c>
    </row>
    <row r="560" spans="2:12" ht="11.1" customHeight="1">
      <c r="B560" s="36" t="s">
        <v>17</v>
      </c>
      <c r="C560" s="11" t="s">
        <v>16</v>
      </c>
      <c r="D560" s="54">
        <v>90</v>
      </c>
      <c r="F560" s="24">
        <v>12</v>
      </c>
      <c r="G560" s="17" t="str">
        <f>IF(OR(D549=0,D553="　"),"","スペーサ")</f>
        <v>スペーサ</v>
      </c>
      <c r="H560" s="29" t="str" cm="1">
        <f t="array" ref="H560">IF(OR(D549=0,D553="　"),"",IF(MID(D553,4,1)="5","S5-"&amp;_xlfn.IFS(1*MID(D553,6,FIND("H",D553,6)-6)&lt;6,"5",1*MID(D553,6,FIND("H",D553,6)-6)&lt;9,"8",1*MID(D553,6,FIND("H",D553,6)-6)&gt;8,"12"),"S6-"&amp;_xlfn.IFS(1*MID(D553,6,FIND("H",D553,6)-6)&lt;4,"3",1*MID(D553,6,FIND("H",D553,6)-6)&lt;7,"6",1*MID(D553,6,FIND("H",D553,6)-6)&lt;10,"9",1*MID(D553,6,FIND("H",D553,6)-6)&lt;13,"12",1*MID(D553,6,FIND("H",D553,6)-6)&lt;15,"14",1*MID(D553,6,FIND("H",D553,6)-6)&lt;20,"19"))&amp;"、ポリプロピレン")</f>
        <v>S5-5、ポリプロピレン</v>
      </c>
      <c r="I560" s="58" t="str">
        <f>IF(OR(D549=0,D553="　"),"","n=mround(アンカー体長－0.4)÷@1.0m, 1.0)")</f>
        <v>n=mround(アンカー体長－0.4)÷@1.0m, 1.0)</v>
      </c>
      <c r="J560" s="16" t="str">
        <f>IF(OR(D549=0,D553="　"),"","個")</f>
        <v>個</v>
      </c>
      <c r="K560" s="38">
        <f>IF(OR(D549=0,D553="　"),"",MROUND((D559-0.4)/1,1))</f>
        <v>7</v>
      </c>
      <c r="L560" s="67">
        <f>IFERROR(D552*K560,"")</f>
        <v>70</v>
      </c>
    </row>
    <row r="561" spans="2:12" ht="11.1" customHeight="1">
      <c r="B561" s="41" t="s">
        <v>37</v>
      </c>
      <c r="C561" s="5" t="s">
        <v>16</v>
      </c>
      <c r="D561" s="66" cm="1">
        <f t="array" ref="D561">IF(OR(D549=0,D553="　"),"",_xlfn.SWITCH(1*MID(D556,1,2),0,_xlfn.SWITCH(1*MID(D553,4,1),5,_xlfn.SWITCH(1*MID(LEFT(D553, LEN(D553)-1),6,2),1,90,2,90,3,90,4,90,5,90,6,115,7,115,8,115,9,135,10,135,11,135,12,135),6,_xlfn.SWITCH(1*MID(LEFT(D553, LEN(D553)-1),6,2),1,90,2,90,3,90,4,115,5,115,6,115,7,135,8,135,9,135,10,146,11,146,12,146,13,165,14,165)),1,_xlfn.SWITCH(1*MID(D553,4,1),5,_xlfn.SWITCH(1*MID(LEFT(D553, LEN(D553)-1),6,2),1,90,2,90,3,90,4,90,5,115,6,115,7,135,8,135,9,135,10,135,11,165,12,165),6,_xlfn.SWITCH(1*MID(LEFT(D553, LEN(D553)-1),6,2),1,90,2,90,3,115,4,115,5,135,6,135,7,135,8,135,9,135,10,165,11,165,12,165,13,165,14,165)),2,_xlfn.SWITCH(1*MID(D553,4,1),5,_xlfn.SWITCH(1*MID(LEFT(D553, LEN(D553)-1),6,2),1,90,2,90,3,115,4,115,5,115,6,115,7,135,8,135,9,146,10,146,11,146,12,146),6,_xlfn.SWITCH(1*MID(LEFT(D553, LEN(D553)-1),6,2),1,90,2,90,3,115,4,115,5,135,6,135,7,146,8,146,9,146,10,165,11,165,12,165,13,216,14,216)),3,_xlfn.SWITCH(1*MID(D553,4,1),5,_xlfn.SWITCH(1*MID(LEFT(D553, LEN(D553)-1),6,2),1,115,2,115,3,115,4,115,5,115,6,135,7,135,8,135,9,146,10,146,11,146,12,146),6,_xlfn.SWITCH(1*MID(LEFT(D553, LEN(D553)-1),6,2),1,115,2,115,3,115,4,135,5,135,6,135,7,146,8,146,9,146,10,165,11,165,12,165,13,216,14,216)),4,_xlfn.SWITCH(1*MID(D553,4,1),5,_xlfn.SWITCH(1*MID(LEFT(D553, LEN(D553)-1),6,2),1,115,2,115,3,115,4,115,5,115,6,135,7,135,8,135,9,146,10,146,11,146,12,146),6,_xlfn.SWITCH(1*MID(LEFT(D553, LEN(D553)-1),6,2),1,115,2,115,3,115,4,135,5,135,6,135,7,146,8,146,9,146,10,165,11,165,12,165,13,216,14,216)),5,_xlfn.SWITCH(1*MID(D553,4,1),5,_xlfn.SWITCH(1*MID(LEFT(D553, LEN(D553)-1),6,2),1,90,2,90,3,115,4,115,5,115,6,115,7,135,8,135,9,165,10,165,11,165,12,165),6,_xlfn.SWITCH(1*MID(LEFT(D553, LEN(D553)-1),6,2),1,90,2,90,3,115,4,115,5,135,6,135,7,165,8,165,9,165,10,165,11,165,12,165,13,216,14,216)),6,_xlfn.SWITCH(1*MID(D553,4,1),5,_xlfn.SWITCH(1*MID(LEFT(D553, LEN(D553)-1),6,2),1,115,2,115,3,115,4,115,5,115,6,135,7,135,8,135,9,165,10,165,11,165,12,165),6,_xlfn.SWITCH(1*MID(LEFT(D553, LEN(D553)-1),6,2),1,115,2,115,3,115,4,135,5,135,6,135,7,165,8,165,9,165,10,165,11,165,12,165,13,216,14,216)),7,_xlfn.SWITCH(1*MID(D553,4,1),5,_xlfn.SWITCH(1*MID(LEFT(D553, LEN(D553)-1),6,2),1,115,2,115,3,115,4,115,5,115,6,135,7,135,8,135,9,165,10,165,11,165,12,165),6,_xlfn.SWITCH(1*MID(LEFT(D553, LEN(D553)-1),6,2),1,115,2,115,3,115,4,135,5,135,6,135,7,165,8,165,9,165,10,165,11,165,12,165,13,216,14,216))))</f>
        <v>90</v>
      </c>
      <c r="F561" s="24">
        <v>13</v>
      </c>
      <c r="G561" s="17" t="str">
        <f>IF(OR(D549=0,D553="　"),"","ﾊﾟｲﾛｯﾄｷｬｯﾌﾟ")</f>
        <v>ﾊﾟｲﾛｯﾄｷｬｯﾌﾟ</v>
      </c>
      <c r="H561" s="29" t="str" cm="1">
        <f t="array" ref="H561">IF(OR(D549=0,D553="　"),"",IF(MID(D553,4,1)="5","PC5-"&amp;_xlfn.IFS(1*MID(D553,6,FIND("H",D553,6)-6)&lt;5,"4",1*MID(D553,6,FIND("H",D553,6)-6)&lt;8,"7",1*MID(D553,6,FIND("H",D553,6)-6)&lt;10,"9",1*MID(D553,6,FIND("H",D553,6)-6)&gt;9,"12"),"PC6-"&amp;_xlfn.IFS(1*MID(D553,6,FIND("H",D553,6)-6)&lt;4,"3",1*MID(D553,6,FIND("H",D553,6)-6)&lt;8,"7",1*MID(D553,6,FIND("H",D553,6)-6)&lt;13,"12",1*MID(D553,6,FIND("H",D553,6)-6)&lt;15,"14",1*MID(D553,6,FIND("H",D553,6)-6)&lt;20,"19"))&amp;"、ポリプロピレン")</f>
        <v>PC5-4、ポリプロピレン</v>
      </c>
      <c r="I561" s="52" t="str">
        <f>IF(OR(D549=0,D553="　"),"","n=1")</f>
        <v>n=1</v>
      </c>
      <c r="J561" s="16" t="str">
        <f>IF(OR(D549=0,D553="　"),"","個")</f>
        <v>個</v>
      </c>
      <c r="K561" s="32">
        <f>IF(OR(D549=0,D553="　"),"",1)</f>
        <v>1</v>
      </c>
      <c r="L561" s="68">
        <f>IFERROR(D552*K561,"")</f>
        <v>10</v>
      </c>
    </row>
    <row r="562" spans="2:12" ht="11.1" customHeight="1">
      <c r="B562" s="43" t="s">
        <v>30</v>
      </c>
      <c r="C562" s="44" t="s">
        <v>31</v>
      </c>
      <c r="D562" s="59" t="str">
        <f>IF(OR(D549=0,D553="　"),"",IF(D560=D561,"OK","CHECK"))</f>
        <v>OK</v>
      </c>
      <c r="F562" s="24">
        <v>14</v>
      </c>
      <c r="G562" s="17" t="str">
        <f>IF(OR(D549=0,D553="　"),"","結束バンド")</f>
        <v>結束バンド</v>
      </c>
      <c r="H562" s="29" t="str">
        <f>IF(OR(D549=0,D553="　"),"","66ナイロン")</f>
        <v>66ナイロン</v>
      </c>
      <c r="I562" s="58" t="str">
        <f>IF(OR(D549=0,D553="　"),"","n=スペーサ数×2")</f>
        <v>n=スペーサ数×2</v>
      </c>
      <c r="J562" s="16" t="str">
        <f>IF(OR(D549=0,D553="　"),"","本")</f>
        <v>本</v>
      </c>
      <c r="K562" s="38">
        <f>IF(OR(D549=0,D553="　"),"",2*K560)</f>
        <v>14</v>
      </c>
      <c r="L562" s="67">
        <f>IFERROR(D552*K562,"")</f>
        <v>140</v>
      </c>
    </row>
    <row r="563" spans="2:12" ht="11.1" customHeight="1">
      <c r="B563" s="45" t="s">
        <v>12</v>
      </c>
      <c r="C563" s="9" t="s">
        <v>10</v>
      </c>
      <c r="D563" s="60">
        <f>IF(OR(D549=0,D553="　"),"──",SUM(D557:D558))</f>
        <v>9</v>
      </c>
      <c r="F563" s="24">
        <v>15</v>
      </c>
      <c r="G563" s="17" t="str">
        <f>IF(OR(D549=0,D553="　"),"","結束テープ")</f>
        <v>結束テープ</v>
      </c>
      <c r="H563" s="29" t="str">
        <f>IF(OR(D549=0,D553="　"),"","フィラメントテープ")</f>
        <v>フィラメントテープ</v>
      </c>
      <c r="I563" s="58" t="str">
        <f>IF(OR(D549=0,D553="　"),"","L=(自由長+緊張部長)÷@1.0m×テープ係数"&amp;IF(MID(D553,4,1)="5",_xlfn.IFS(1*MID(LEFT(D553, LEN(D553)-1),6,2)&lt;4,"0.8",1*MID(LEFT(D553, LEN(D553)-1),6,2)&lt;7,"1.0",1*MID(LEFT(D553, LEN(D553)-1),6,2)&lt;10,"1.2",1*MID(LEFT(D553, LEN(D553)-1),6,2)&lt;13,"1.4"),_xlfn.IFS(1*MID(LEFT(D553, LEN(D553)-1),6,2)&lt;4,"1.0",1*MID(LEFT(D553, LEN(D553)-1),6,2)&lt;7,"1.2",1*MID(LEFT(D553, LEN(D553)-1),6,2)&lt;10,"1.4",1*MID(LEFT(D553, LEN(D553)-1),6,2)&lt;15,"1.8")))</f>
        <v>L=(自由長+緊張部長)÷@1.0m×テープ係数0.8</v>
      </c>
      <c r="J563" s="16" t="str">
        <f>IF(OR(D549=0,D553="　"),"","m")</f>
        <v>m</v>
      </c>
      <c r="K563" s="42" cm="1">
        <f t="array" ref="K563">IF(OR(D549=0,D553="　"),"",MROUND((SUM(D563,D564))/1*IF(MID(D553,4,1)="5",_xlfn.SWITCH(1*MID(D553,6,FIND("H",D553,6)-6),1,0.8,2,0.8,3,0.8,4,1,5,1,6,1,7,1.2,8,1.2,9,1.2,10,1.4,11,1.4,12,1.4),_xlfn.SWITCH(1*MID(D553,6,FIND("H",D553,6)-6),1,1,2,1,3,1,4,1.2,5,1.2,6,1.2,7,1.4,8,1.4,9,1.4,10,1.8,11,1.8,12,1.8,13,1.8,14,1.8,15,2.5,16,2.5,17,2.5,18,2.5,19,2.5)),0.1))</f>
        <v>8</v>
      </c>
      <c r="L563" s="69">
        <f>IFERROR(D552*K563,"")</f>
        <v>80</v>
      </c>
    </row>
    <row r="564" spans="2:12" ht="11.1" customHeight="1">
      <c r="B564" s="47" t="s">
        <v>13</v>
      </c>
      <c r="C564" s="10" t="s">
        <v>10</v>
      </c>
      <c r="D564" s="61" cm="1">
        <f t="array" ref="D564">IF(OR(D549=0,D553="　"),"──",IF(MID(D553,4,1)="5",_xlfn.IFS(1*MID(LEFT(D553,LEN(D553)-1),6,2)&lt;8,1,1*MID(LEFT(D553,LEN(D553)-1),6,2)&lt;13,1.2),_xlfn.IFS(1*MID(LEFT(D553,LEN(D553)-1),6,2)&lt;6,1,1*MID(LEFT(D553,LEN(D553)-1),6,2)&lt;15,1.2)))</f>
        <v>1</v>
      </c>
      <c r="F564" s="24">
        <v>16</v>
      </c>
      <c r="G564" s="17" t="str">
        <f>IF(OR(D549=0,D553="　",1*MID(D556,1,2)=1,1*MID(D556,1,2)=5),"","注入ホース")</f>
        <v>注入ホース</v>
      </c>
      <c r="H564" s="29" t="str">
        <f>IF(OR(D549=0,D553="　",1*MID(D556,1,2)=1,1*MID(D556,1,2)=5),"","φ16/20、高密度ポリエチレン")</f>
        <v>φ16/20、高密度ポリエチレン</v>
      </c>
      <c r="I564" s="46" t="str">
        <f>IF(OR(D549=0,D553="　",1*MID(D556,1,2)=1,1*MID(D556,1,2)=5),"","L=テンドン長")</f>
        <v>L=テンドン長</v>
      </c>
      <c r="J564" s="16" t="str">
        <f>IF(OR(D549=0,D553="　",1*MID(D556,1,2)=1,1*MID(D556,1,2)=5),"","m")</f>
        <v>m</v>
      </c>
      <c r="K564" s="30">
        <f>IF(OR(D549=0,D553="　",1*MID(D556,1,2)=1,1*MID(D556,1,2)=5),"",MROUND(D566,0.1))</f>
        <v>17.2</v>
      </c>
      <c r="L564" s="67">
        <f>IFERROR(D552*K564,"")</f>
        <v>172</v>
      </c>
    </row>
    <row r="565" spans="2:12" ht="11.1" customHeight="1">
      <c r="B565" s="48" t="s">
        <v>19</v>
      </c>
      <c r="C565" s="10" t="s">
        <v>14</v>
      </c>
      <c r="D565" s="62">
        <f>IF(OR(D549=0,D553="　"),"──",0.2)</f>
        <v>0.2</v>
      </c>
      <c r="F565" s="24">
        <v>17</v>
      </c>
      <c r="G565" s="17" t="str" cm="1">
        <f t="array" ref="G565">_xlfn.IFS(OR(D549=0,D553="　",MID(D555,1,2)="なし",MID(D555,1,3)="受圧体",1*MID(D556,1,2)=1,1*MID(D556,1,2)&gt;=5),"",MID(D555,1,3)="のり面","のり面角度台座",MID(D555,1,3)="構造物","構造物壁面台座",MID(D555,1,3)="土留め","土留め台座",MID(D555,1,3)="個別台","個別台座")</f>
        <v>のり面角度台座</v>
      </c>
      <c r="H565" s="46" t="str" cm="1">
        <f t="array" ref="H565">IF(OR(D549=0,D553="　",G565=""),"",_xlfn.IFS(MID(D555,1,3)="のり面",IF(1*MID(D553,4,1)=5,_xlfn.IFS(1*MID(D553,6,FIND("H",D553,6)-6)&lt;5,"ST140",1*MID(D553,6,FIND("H",D553,6)-6)&lt;8,"ST170",1*MID(D553,6,FIND("H",D553,6)-6)&lt;13,"ST220"),_xlfn.IFS(1*MID(D553,6,FIND("H",D553,6)-6)&lt;4,"ST140",1*MID(D553,6,FIND("H",D553,6)-6)&lt;5,"ST170",1*MID(D553,6,FIND("H",D553,6)-6)&lt;8,"ST220",1*MID(D553,6,FIND("H",D553,6)-6)&lt;20,"非該当"))&amp;"、FCD450相当",OR(MID(D555,1,3)="構造物",MID(D555,1,3)="土留め",MID(D555,1,3)="個別台"),D553&amp;"用"&amp;_xlfn.IFS(MID(D555,1,3)="構造物","",MID(D555,1,3)="土留め",IF(1*MID(D553,4,1)=5,_xlfn.SWITCH(1*MID(D553,6,FIND("H",D553,6)-6),1,"DA110",2,"DA220",3,"DA330",4,"DA440",5,"DA550",6,"DA660",7,"DA770",8,"DA880",9,"DA990",10,"DA1100",11,"DA1210",12,"DA1320"),_xlfn.SWITCH(1*MID(D553,6,FIND("H",D553,6)-6),1,"DA220",2,"DA330",3,"DA550",4,"DA660",5,"DA880",6,"DA990",7,"DA1100",8,"DA1320",9,"DA1410",10,"DA1570",11,"DA1730",12,"DA1880",13,"DA2040",14,"DA2200")),MID(D555,1,3)="個別台",D568)))&amp;IF(OR(D549=0,D553="　",G565=""),"","、"&amp;_xlfn.IFS(MID(D551,1,3)="防食Ⅱ","HDZT77めっき",MID(D551,5,2)="塩害","ｱﾙﾐﾅｲｽﾞ処理",MID(D551,5,2)="酸性","重防食処理"))</f>
        <v>ST140、FCD450相当、HDZT77めっき</v>
      </c>
      <c r="I565" s="52" t="str">
        <f>IF(OR(D549=0,D553="　",G565=""),"","n=1")</f>
        <v>n=1</v>
      </c>
      <c r="J565" s="16" t="str">
        <f>IF(OR(D549=0,D553="　",G565=""),"","台")</f>
        <v>台</v>
      </c>
      <c r="K565" s="32">
        <f>IF(OR(D549=0,D553="　",G565=""),"",1)</f>
        <v>1</v>
      </c>
      <c r="L565" s="68">
        <f>IFERROR(D552*K565,"")</f>
        <v>10</v>
      </c>
    </row>
    <row r="566" spans="2:12" ht="11.1" customHeight="1">
      <c r="B566" s="50" t="s">
        <v>20</v>
      </c>
      <c r="C566" s="10" t="s">
        <v>10</v>
      </c>
      <c r="D566" s="63">
        <f>IF(OR(D549=0,D553="　"),"──",SUM(D559,D563:D565))</f>
        <v>17.2</v>
      </c>
      <c r="F566" s="24">
        <v>18</v>
      </c>
      <c r="G566" s="17" t="str">
        <f>IF(OR(D549=0,D553="　",MID(D555,1,3)&lt;&gt;"のり面",1*MID(D556,1,2)=1,1*MID(D556,1,2)&gt;=5),"","補剛板")</f>
        <v>補剛板</v>
      </c>
      <c r="H566" s="46" t="str" cm="1">
        <f t="array" ref="H566">IF(OR(D549=0,D553="　",G566=""),"",IF(MID(D553,4,1)="5","□"&amp;_xlfn.SWITCH(1*MID(D553,6,FIND("H",D553,6)-6),1,"210φ131t12",2,"210φ131t12",3,"240φ131t12",4,"270φ131t12",5,"280φ143t12",6,"310φ143t16",7,"350φ143t19",8,"350φ180t19",9,"350φ180t19",10,"350φ180t19",11,"350φ180t22",12,"350φ180t22"),"□"&amp;_xlfn.SWITCH(1*MID(D553,6,FIND("H",D553,6)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549=0,D553="　",G566=""),"","、"&amp;_xlfn.IFS(MID(D551,1,3)="防食Ⅱ","HDZT77めっき",MID(D551,5,2)="塩害","ｱﾙﾐﾅｲｽﾞ処理",MID(D551,5,2)="酸性","重防食処理"))</f>
        <v>□240φ131t12、SS400相当、HDZT77めっき</v>
      </c>
      <c r="I566" s="52" t="str">
        <f>IF(OR(D549=0,D553="　",G566=""),"","n=1")</f>
        <v>n=1</v>
      </c>
      <c r="J566" s="16" t="str">
        <f>IF(OR(D549=0,D553="　",G566=""),"","枚")</f>
        <v>枚</v>
      </c>
      <c r="K566" s="32">
        <f>IF(OR(D549=0,D553="　",G566=""),"",1)</f>
        <v>1</v>
      </c>
      <c r="L566" s="68">
        <f>IFERROR(D552*K566,"")</f>
        <v>10</v>
      </c>
    </row>
    <row r="567" spans="2:12" ht="11.1" customHeight="1">
      <c r="B567" s="51" t="s">
        <v>15</v>
      </c>
      <c r="C567" s="12" t="s">
        <v>10</v>
      </c>
      <c r="D567" s="64">
        <f>IF(OR(D549=0,D553="　"),"──",0.25)</f>
        <v>0.25</v>
      </c>
      <c r="F567" s="24">
        <v>19</v>
      </c>
      <c r="G567" s="17" t="str" cm="1">
        <f t="array" ref="G567">_xlfn.IFS(OR(D549=0,D553="　",MID(D554,1,3)="ｱﾙﾐ",1*MID(D556,1,2)=1,1*MID(D556,1,2)&gt;=5),"",MID(D554,1,3)&lt;&gt;"ｱﾙﾐ","テンドン補修用塗料")</f>
        <v>テンドン補修用塗料</v>
      </c>
      <c r="H567" s="38" t="str" cm="1">
        <f t="array" ref="H567">_xlfn.IFS(OR(D549=0,D553="　",MID(D554,1,3)="ｱﾙﾐ",1*MID(D556,1,2)=1,1*MID(D556,1,2)&gt;=5),"",MID(D554,1,3)&lt;&gt;"ｱﾙﾐ","エポキシ樹脂")</f>
        <v>エポキシ樹脂</v>
      </c>
      <c r="I567" s="52" t="str" cm="1">
        <f t="array" ref="I567">_xlfn.IFS(OR(D549=0,D553="　",MID(D554,1,3)="ｱﾙﾐ",1*MID(D556,1,2)=1,1*MID(D556,1,2)&gt;=5),"",MID(D554,1,3)&lt;&gt;"ｱﾙﾐ","W=PC鋼より線本数×"&amp;IF(MID(D553,4,1)="5","0.28","0.4"))</f>
        <v>W=PC鋼より線本数×0.28</v>
      </c>
      <c r="J567" s="16" t="str" cm="1">
        <f t="array" ref="J567">_xlfn.IFS(OR(D549=0,D553="　",MID(D554,1,3)="ｱﾙﾐ",1*MID(D556,1,2)=1,1*MID(D556,1,2)&gt;=5),"",MID(D554,1,3)&lt;&gt;"ｱﾙﾐ","g")</f>
        <v>g</v>
      </c>
      <c r="K567" s="77" cm="1">
        <f t="array" ref="K567">_xlfn.IFS(OR(D549=0,D553="　",MID(D554,1,3)="ｱﾙﾐ",1*MID(D556,1,2)=1,1*MID(D556,1,2)&gt;=5),"",MID(D554,1,3)&lt;&gt;"ｱﾙﾐ",MID(D553,6,FIND("H",D553,6)-6)*IF(MID(D553,4,1)="5",0.28,0.4))</f>
        <v>0.84000000000000008</v>
      </c>
      <c r="L567" s="78">
        <f>IFERROR(D552*K567,"")</f>
        <v>8.4</v>
      </c>
    </row>
    <row r="568" spans="2:12" ht="11.1" customHeight="1">
      <c r="B568" s="65" t="s">
        <v>32</v>
      </c>
      <c r="C568" s="3" t="s">
        <v>33</v>
      </c>
      <c r="D568" s="76"/>
      <c r="F568" s="24">
        <v>20</v>
      </c>
      <c r="G568" s="17" t="str" cm="1">
        <f t="array" ref="G568">_xlfn.IFS(OR(D549=0,D553="　",MID(D554,1,3)="ｱﾙﾐ",1*MID(D556,1,2)=1,1*MID(D556,1,2)&gt;=5),"",MID(D554,1,3)&lt;&gt;"ｱﾙﾐ","長期防錆スプレー")</f>
        <v>長期防錆スプレー</v>
      </c>
      <c r="H568" s="38" t="str" cm="1">
        <f t="array" ref="H568">_xlfn.IFS(OR(D549=0,D553="　",MID(D554,1,3)="ｱﾙﾐ",1*MID(D556,1,2)=1,1*MID(D556,1,2)&gt;=5),"",MID(D554,1,3)&lt;&gt;"ｱﾙﾐ","防錆オイル")</f>
        <v>防錆オイル</v>
      </c>
      <c r="I568" s="52" t="str" cm="1">
        <f t="array" ref="I568">_xlfn.IFS(OR(D549=0,D553="　",MID(D554,1,3)="ｱﾙﾐ",1*MID(D556,1,2)=1,1*MID(D556,1,2)&gt;=5),"",MID(D554,1,3)&lt;&gt;"ｱﾙﾐ","n=0.01×(PC鋼より線本数+"&amp;IF(MID(D553,4,1)="5","6","12")&amp;")")</f>
        <v>n=0.01×(PC鋼より線本数+6)</v>
      </c>
      <c r="J568" s="16" t="str" cm="1">
        <f t="array" ref="J568">_xlfn.IFS(OR(D549=0,D553="　",MID(D554,1,3)="ｱﾙﾐ",1*MID(D556,1,2)=1,1*MID(D556,1,2)&gt;=5),"",MID(D554,1,3)&lt;&gt;"ｱﾙﾐ","缶")</f>
        <v>缶</v>
      </c>
      <c r="K568" s="77" cm="1">
        <f t="array" ref="K568">_xlfn.IFS(OR(D549=0,D553="　",MID(D554,1,3)="ｱﾙﾐ",1*MID(D556,1,2)=1,1*MID(D556,1,2)&gt;=5),"",MID(D554,1,3)&lt;&gt;"ｱﾙﾐ",0.01*(IF(MID(D553,4,1)="5",6,12)+MID(LEFT(D553,LEN(D553)-1),6,2)))</f>
        <v>0.09</v>
      </c>
      <c r="L568" s="78">
        <f>IFERROR(D552*K568,"")</f>
        <v>0.89999999999999991</v>
      </c>
    </row>
    <row r="569" spans="2:12" ht="11.1" customHeight="1">
      <c r="F569" s="24">
        <v>21</v>
      </c>
      <c r="G569" s="17" t="str">
        <f>IF(OR(D549=0,D553="　",1*MID(D556,1,2)&lt;=1,1*MID(D556,1,2)=3,,1*MID(D556,1,2)=6),"","ﾌﾘｰﾊﾟｯｶｰ注入ﾎｰｽ")</f>
        <v/>
      </c>
      <c r="H569" s="29" t="str">
        <f>IF(OR(D549=0,D553="　",1*MID(D556,1,2)&lt;=1,1*MID(D556,1,2)=3,,1*MID(D556,1,2)=6),"","φ16/20、ポリエチレン")</f>
        <v/>
      </c>
      <c r="I569" s="29" t="str">
        <f>IF(OR(D549=0,D553="　",1*MID(D556,1,2)&lt;=1,1*MID(D556,1,2)=3,,1*MID(D556,1,2)=6),"","L=自由長+緊張部長")</f>
        <v/>
      </c>
      <c r="J569" s="16" t="str">
        <f>IF(OR(D549=0,D553="　",1*MID(D556,1,2)&lt;=1,1*MID(D556,1,2)=3,,1*MID(D556,1,2)=6),"","m")</f>
        <v/>
      </c>
      <c r="K569" s="30" t="str">
        <f>IF(OR(D549=0,D553="　",1*MID(D556,1,2)&lt;=1,1*MID(D556,1,2)=3,,1*MID(D556,1,2)=6),"",D563+D564)</f>
        <v/>
      </c>
      <c r="L569" s="67" t="str">
        <f>IFERROR(D552*K569,"")</f>
        <v/>
      </c>
    </row>
    <row r="570" spans="2:12" ht="11.1" customHeight="1">
      <c r="F570" s="24">
        <v>22</v>
      </c>
      <c r="G570" s="17" t="str">
        <f>IF(OR(D549=0,D553="　",1*MID(D556,1,2)&lt;=1,1*MID(D556,1,2)=3,,1*MID(D556,1,2)=6),"","フリーパッカー")</f>
        <v/>
      </c>
      <c r="H570" s="52" t="str" cm="1">
        <f t="array" ref="H570">IF(OR(D549=0,D553="　",1*MID(D556,1,2)&lt;=1,1*MID(D556,1,2)=3,1*MID(D556,1,2)=6),"",_xlfn.SWITCH(D560,90,"PA-170",115,"PA-200",135,"PA-240",146,"PA-290",165,"PA-350",216,"PA-420")&amp;"、織布")</f>
        <v/>
      </c>
      <c r="I570" s="52" t="str">
        <f>IF(OR(D549=0,D553="　",1*MID(D556,1,2)&lt;=1,1*MID(D556,1,2)=3,1*MID(D556,1,2)=6),"","L=自由長+0.5")</f>
        <v/>
      </c>
      <c r="J570" s="16" t="str">
        <f>IF(OR(D549=0,D553="　",1*MID(D556,1,2)&lt;=1,1*MID(D556,1,2)=3,,1*MID(D556,1,2)=6),"","m")</f>
        <v/>
      </c>
      <c r="K570" s="30" t="str">
        <f>IF(OR(D549=0,D553="　",1*MID(D556,1,2)&lt;=1,1*MID(D556,1,2)=3,,1*MID(D556,1,2)=6),"",D563+0.5)</f>
        <v/>
      </c>
      <c r="L570" s="69" t="str">
        <f>IFERROR(D552*K570,"")</f>
        <v/>
      </c>
    </row>
    <row r="571" spans="2:12" ht="11.1" customHeight="1">
      <c r="F571" s="24">
        <v>23</v>
      </c>
      <c r="G571" s="17" t="str">
        <f>IF(OR(D549=0,D553="　",1*MID(D556,1,2)&lt;=1,1*MID(D556,1,2)=3,,1*MID(D556,1,2)=6),"","ﾌﾘｰﾊﾟｯｶｰ取付加工")</f>
        <v/>
      </c>
      <c r="H571" s="29" t="str">
        <f>IF(OR(D549=0,D553="　",1*MID(D556,1,2)&lt;=1,1*MID(D556,1,2)=3,,1*MID(D556,1,2)=6),"","材工")</f>
        <v/>
      </c>
      <c r="I571" s="29" t="str">
        <f>IF(OR(D549=0,D553="　",1*MID(D556,1,2)&lt;=1,1*MID(D556,1,2)=3,,1*MID(D556,1,2)=6),"","n=1")</f>
        <v/>
      </c>
      <c r="J571" s="16" t="str">
        <f>IF(OR(D549=0,D553="　",1*MID(D556,1,2)&lt;=1,1*MID(D556,1,2)=3,,1*MID(D556,1,2)=6),"","式")</f>
        <v/>
      </c>
      <c r="K571" s="32" t="str">
        <f>IF(OR(D549=0,D553="　",1*MID(D556,1,2)&lt;=1,1*MID(D556,1,2)=3,,1*MID(D556,1,2)=6),"",1)</f>
        <v/>
      </c>
      <c r="L571" s="70" t="str">
        <f>IFERROR(D552*K571,"")</f>
        <v/>
      </c>
    </row>
    <row r="572" spans="2:12" ht="11.1" customHeight="1">
      <c r="F572" s="24">
        <v>24</v>
      </c>
      <c r="G572" s="17" t="str">
        <f>IF(OR(D549=0,D553="　",1*MID(D556,1,2)&lt;=2,1*MID(D556,1,2)=5),"","フリクションパッカー")</f>
        <v/>
      </c>
      <c r="H572" s="38" t="str" cm="1">
        <f t="array" ref="H572">IF(OR(D549=0,D553="　",1*MID(D556,1,2)&lt;=2,1*MID(D556,1,2)=5),"",_xlfn.SWITCH(D560,90,"FP125",115,"FP125",135,"FP150",146,"FP175",165,"FP200",216,"FP235")&amp;"、パイレン布")</f>
        <v/>
      </c>
      <c r="I572" s="38" t="str">
        <f>IF(OR(D549=0,D553="　",1*MID(D556,1,2)&lt;=2,1*MID(D556,1,2)=5),"","L=アンカー体長+0.5")</f>
        <v/>
      </c>
      <c r="J572" s="16" t="str">
        <f>IF(OR(D549=0,D553="　",1*MID(D556,1,2)&lt;=2,1*MID(D556,1,2)=5),"","m")</f>
        <v/>
      </c>
      <c r="K572" s="30" t="str">
        <f>IF(OR(D549=0,D553="　",1*MID(D556,1,2)&lt;=2,1*MID(D556,1,2)=5),"",D559+0.5)</f>
        <v/>
      </c>
      <c r="L572" s="68" t="str">
        <f>IFERROR(D552*K572,"")</f>
        <v/>
      </c>
    </row>
    <row r="573" spans="2:12" ht="11.1" customHeight="1">
      <c r="F573" s="24">
        <v>25</v>
      </c>
      <c r="G573" s="17" t="str">
        <f>IF(OR(D549=0,D553="　",1*MID(D556,1,2)&lt;=2,1*MID(D556,1,2)=5),"","ﾌﾘｸｼｮﾝﾊﾟｯｶｰ取付加工")</f>
        <v/>
      </c>
      <c r="H573" s="29" t="str">
        <f>IF(OR(D549=0,D553="　",1*MID(D556,1,2)&lt;=2,1*MID(D556,1,2)=5),"","材工")</f>
        <v/>
      </c>
      <c r="I573" s="29" t="str">
        <f>IF(OR(D549=0,D553="　",1*MID(D556,1,2)&lt;=2,1*MID(D556,1,2)=5),"","n=1")</f>
        <v/>
      </c>
      <c r="J573" s="16" t="str">
        <f>IF(OR(D549=0,D553="　",1*MID(D556,1,2)&lt;=2,1*MID(D556,1,2)=5),"","式")</f>
        <v/>
      </c>
      <c r="K573" s="32" t="str">
        <f>IF(OR(D549=0,D553="　",1*MID(D556,1,2)&lt;=2,1*MID(D556,1,2)=5),"",1)</f>
        <v/>
      </c>
      <c r="L573" s="70" t="str">
        <f>IFERROR(D552*K573,"")</f>
        <v/>
      </c>
    </row>
    <row r="574" spans="2:12" ht="11.1" customHeight="1">
      <c r="F574" s="24">
        <v>26</v>
      </c>
      <c r="G574" s="17" t="str">
        <f>IF(OR(D549=0,D553="　",1*MID(D556,1,2)=0,1*MID(D556,1,2)=2,1*MID(D556,1,2)=3,1*MID(D556,1,2)=4),"","試験ﾊﾟｯｶｰ水注入ﾎｰｽ")</f>
        <v/>
      </c>
      <c r="H574" s="38" t="str">
        <f>IF(OR(D549=0,D553="　",1*MID(D556,1,2)=0,1*MID(D556,1,2)=2,1*MID(D556,1,2)=3,1*MID(D556,1,2)=4),"","φ4/6、ナイロン")</f>
        <v/>
      </c>
      <c r="I574" s="38" t="str">
        <f>IF(OR(D549=0,D553="　",1*MID(D556,1,2)=0,1*MID(D556,1,2)=2,1*MID(D556,1,2)=3,1*MID(D556,1,2)=4),"","L=自由長+緊張部長")</f>
        <v/>
      </c>
      <c r="J574" s="79" t="str">
        <f>IF(OR(D549=0,D553="　",1*MID(D556,1,2)=0,1*MID(D556,1,2)=2,1*MID(D556,1,2)=3,1*MID(D556,1,2)=4),"","m")</f>
        <v/>
      </c>
      <c r="K574" s="80" t="str">
        <f>IF(OR(D549=0,D553="　",1*MID(D556,1,2)=0,1*MID(D556,1,2)=2,1*MID(D556,1,2)=3,1*MID(D556,1,2)=4),"",D563+D564)</f>
        <v/>
      </c>
      <c r="L574" s="81" t="str">
        <f>IFERROR(D552*K574,"")</f>
        <v/>
      </c>
    </row>
    <row r="575" spans="2:12" ht="11.1" customHeight="1">
      <c r="F575" s="24">
        <v>27</v>
      </c>
      <c r="G575" s="17" t="str">
        <f>IF(OR(D549=0,D553="　",1*MID(D556,1,2)=0,1*MID(D556,1,2)=2,1*MID(D556,1,2)=3,1*MID(D556,1,2)=4),"","引抜試験パッカー")</f>
        <v/>
      </c>
      <c r="H575" s="38" t="str" cm="1">
        <f t="array" ref="H575">IF(OR(D549=0,D553="　",1*MID(D556,1,2)=0,1*MID(D556,1,2)=2,1*MID(D556,1,2)=3,1*MID(D556,1,2)=4),"",_xlfn.SWITCH(D560,90,"PU90",115,"PU115",135,"PU135",146,"PU146",165,"PU165")&amp;"、3層構造(鋼管･ゴム･布)")</f>
        <v/>
      </c>
      <c r="I575" s="38" t="str">
        <f>IF(OR(D549=0,D553="　",1*MID(D556,1,2)=0,1*MID(D556,1,2)=2,1*MID(D556,1,2)=3,1*MID(D556,1,2)=4),"","n=1")</f>
        <v/>
      </c>
      <c r="J575" s="79" t="str">
        <f>IF(OR(D549=0,D553="　",1*MID(D556,1,2)=0,1*MID(D556,1,2)=2,1*MID(D556,1,2)=3,1*MID(D556,1,2)=4),"","式")</f>
        <v/>
      </c>
      <c r="K575" s="32" t="str" cm="1">
        <f t="array" ref="K575">IF(OR(D549=0,D553="　",1*MID(D556,1,2)=0,1*MID(D556,1,2)=2,1*MID(D556,1,2)=3,1*MID(D556,1,2)=4),"",_xlfn.IFS(OR(1*MID(D556,1,2)=1,1*MID(D556,1,2)&gt;=5),1))</f>
        <v/>
      </c>
      <c r="L575" s="68" t="str">
        <f>IFERROR(D552*K575,"")</f>
        <v/>
      </c>
    </row>
    <row r="576" spans="2:12" ht="11.1" customHeight="1">
      <c r="F576" s="24">
        <v>28</v>
      </c>
      <c r="G576" s="17" t="str">
        <f>IF(OR(D549=0,D553="　",1*MID(D556,1,2)=0,1*MID(D556,1,2)=2,1*MID(D556,1,2)=3,1*MID(D556,1,2)=4),"","引抜試験パッカー取付加工")</f>
        <v/>
      </c>
      <c r="H576" s="38" t="str">
        <f>IF(OR(D549=0,D553="　",1*MID(D556,1,2)=0,1*MID(D556,1,2)=2,1*MID(D556,1,2)=3,1*MID(D556,1,2)=4),"","材工")</f>
        <v/>
      </c>
      <c r="I576" s="38" t="str">
        <f>IF(OR(D549=0,D553="　",1*MID(D556,1,2)=0,1*MID(D556,1,2)=2,1*MID(D556,1,2)=3,1*MID(D556,1,2)=4),"","n=1")</f>
        <v/>
      </c>
      <c r="J576" s="79" t="str" cm="1">
        <f t="array" ref="J576">IF(OR(D549=0,D553="　",1*MID(D556,1,2)=0,1*MID(D556,1,2)=2,1*MID(D556,1,2)=3,1*MID(D556,1,2)=4),"",_xlfn.IFS(OR(1*MID(D556,1,2)=1,1*MID(D556,1,2)&gt;=5),"式"))</f>
        <v/>
      </c>
      <c r="K576" s="32" t="str" cm="1">
        <f t="array" ref="K576">IF(OR(D549=0,D553="　",1*MID(D556,1,2)=0,1*MID(D556,1,2)=2,1*MID(D556,1,2)=3,1*MID(D556,1,2)=4),"",_xlfn.IFS(OR(1*MID(D556,1,2)=1,1*MID(D556,1,2)&gt;=5),1))</f>
        <v/>
      </c>
      <c r="L576" s="68" t="str">
        <f>IFERROR(D552*K576,"")</f>
        <v/>
      </c>
    </row>
    <row r="577" spans="2:12" ht="11.1" customHeight="1">
      <c r="F577" s="24">
        <v>29</v>
      </c>
      <c r="G577" s="17" t="str">
        <f>IF(OR(D549=0,D553="　",1*MID(D556,1,2)=0,1*MID(D556,1,2)=2,1*MID(D556,1,2)=3,1*MID(D556,1,2)=4),"","自由長洗浄ﾎｰｽ")</f>
        <v/>
      </c>
      <c r="H577" s="38" t="str">
        <f>IF(OR(D549=0,D553="　",1*MID(D556,1,2)=0,1*MID(D556,1,2)=2,1*MID(D556,1,2)=3,1*MID(D556,1,2)=4),"","φ16/20、ポリエチレン")</f>
        <v/>
      </c>
      <c r="I577" s="38" t="str">
        <f>IF(OR(D549=0,D553="　",1*MID(D556,1,2)=0,1*MID(D556,1,2)=2,1*MID(D556,1,2)=3,1*MID(D556,1,2)=4),"","L=自由長+0.5")</f>
        <v/>
      </c>
      <c r="J577" s="79" t="str">
        <f>IF(OR(D549=0,D553="　",1*MID(D556,1,2)=0,1*MID(D556,1,2)=2,1*MID(D556,1,2)=3,1*MID(D556,1,2)=4),"","m")</f>
        <v/>
      </c>
      <c r="K577" s="32" t="str">
        <f>IF(OR(D549=0,D553="　",1*MID(D556,1,2)=0,1*MID(D556,1,2)=2,1*MID(D556,1,2)=3,1*MID(D556,1,2)=4),"",D563+0.5)</f>
        <v/>
      </c>
      <c r="L577" s="81" t="str">
        <f>IFERROR(D552*K577,"")</f>
        <v/>
      </c>
    </row>
    <row r="578" spans="2:12" ht="11.1" customHeight="1">
      <c r="D578" s="1" t="s">
        <v>9</v>
      </c>
      <c r="F578" s="56">
        <v>30</v>
      </c>
      <c r="G578" s="82" t="str">
        <f>IF(OR(D549=0,D553="　",1*MID(D556,1,2)&lt;=2,1*MID(D556,1,2)=5,MID(D578,6,2)&lt;&gt;"あり"),"","確認ホース")</f>
        <v/>
      </c>
      <c r="H578" s="83" t="str">
        <f>IF(OR(D549=0,D553="　",1*MID(D556,1,2)&lt;=2,1*MID(D556,1,2)=5,MID(D578,6,2)&lt;&gt;"あり"),"","φ17、ポリエチレン")</f>
        <v/>
      </c>
      <c r="I578" s="83"/>
      <c r="J578" s="84" t="str">
        <f>IF(OR(D549=0,D553="　",1*MID(D556,1,2)&lt;=2,1*MID(D556,1,2)=5,MID(D578,6,2)&lt;&gt;"あり"),"","m")</f>
        <v/>
      </c>
      <c r="K578" s="85" t="str">
        <f>IF(OR(D548=0,D553="　",1*MID(D556,1,2)&lt;=2,1*MID(D556,1,2)=5,MID(D578,6,2)&lt;&gt;"あり"),"",0.5+MROUND(D563+D565,0.1))</f>
        <v/>
      </c>
      <c r="L578" s="86" t="str">
        <f>IFERROR(D552*K578,"")</f>
        <v/>
      </c>
    </row>
    <row r="580" spans="2:12" ht="11.1" customHeight="1">
      <c r="B580" s="19" t="s">
        <v>1</v>
      </c>
      <c r="D580" s="4"/>
      <c r="G580" s="73" t="s">
        <v>39</v>
      </c>
    </row>
    <row r="581" spans="2:12" ht="11.1" customHeight="1">
      <c r="G581" s="99">
        <f>D582</f>
        <v>18</v>
      </c>
      <c r="H581" s="55" t="str">
        <f>IF(D583=0,"",D584&amp;" "&amp;D587&amp; "："&amp;TEXT(D600,"L=##0.00")&amp;"m"&amp;TEXT(D598,",L1=##0.00")&amp;"m"&amp;TEXT(D597,",Lf=##0.00")&amp;"m"&amp;TEXT(D593,",LA=##0.00")&amp;"m"&amp;TEXT(D599,",L2=##0.00")&amp;"m")</f>
        <v>(18)1段/2段 EHD5-3H：L=17.20m,L1=1.00m,Lf=9.00m,LA=7.00m,L2=0.20m</v>
      </c>
      <c r="I581" s="55"/>
      <c r="J581" s="18"/>
    </row>
    <row r="582" spans="2:12" ht="11.1" customHeight="1">
      <c r="B582" s="13" t="s">
        <v>2</v>
      </c>
      <c r="C582" s="3" t="s">
        <v>3</v>
      </c>
      <c r="D582" s="98">
        <f>1+(ROW()-ROW($D$4))/34</f>
        <v>18</v>
      </c>
      <c r="F582" s="20"/>
      <c r="G582" s="21" t="s">
        <v>21</v>
      </c>
      <c r="H582" s="22" t="s">
        <v>22</v>
      </c>
      <c r="I582" s="22" t="s">
        <v>38</v>
      </c>
      <c r="J582" s="23" t="s">
        <v>23</v>
      </c>
      <c r="K582" s="22" t="s">
        <v>24</v>
      </c>
      <c r="L582" s="3" t="s">
        <v>4</v>
      </c>
    </row>
    <row r="583" spans="2:12" ht="11.1" customHeight="1">
      <c r="B583" s="28" t="s">
        <v>25</v>
      </c>
      <c r="C583" s="5" t="s">
        <v>26</v>
      </c>
      <c r="D583" s="6">
        <v>1</v>
      </c>
      <c r="F583" s="24">
        <v>1</v>
      </c>
      <c r="G583" s="25" t="str">
        <f>IF(OR(D583=0,D587="　"),"","硅砂付着ECFﾃﾝﾄﾞﾝ")</f>
        <v>硅砂付着ECFﾃﾝﾄﾞﾝ</v>
      </c>
      <c r="H583" s="26" t="str">
        <f>IF(OR(D583=0,D587="　"),"",D587&amp;" ("&amp;MID(D587,6,FIND("H",D587,6)-6)&amp;IF(MID(D587,4,1)="5","φ12.7","φ15.2")&amp;")")</f>
        <v>EHD5-3H (3φ12.7)</v>
      </c>
      <c r="I583" s="57" t="str">
        <f>IF(OR(D583=0,D587="　"),"","W=テンドン長×PC鋼より線本数×"&amp;IF(MID(D587,4,1)="5","0.774","1.101")&amp;"kg/m")</f>
        <v>W=テンドン長×PC鋼より線本数×0.774kg/m</v>
      </c>
      <c r="J583" s="14" t="str">
        <f>IF(OR(D583=0,D587="　"),"","kg")</f>
        <v>kg</v>
      </c>
      <c r="K583" s="27">
        <f>IF(OR(D583=0,D587="　"),"",MROUND(D600*MID(D587,6,FIND("H",D587,6)-6)*IF(MID(D587,4,1)="5","0.774","1.101"),0.01))</f>
        <v>39.94</v>
      </c>
      <c r="L583" s="15">
        <f>IFERROR(D586*K583,"")</f>
        <v>399.4</v>
      </c>
    </row>
    <row r="584" spans="2:12" ht="11.1" customHeight="1">
      <c r="B584" s="31" t="s">
        <v>45</v>
      </c>
      <c r="C584" s="71" t="s">
        <v>6</v>
      </c>
      <c r="D584" s="74" t="s">
        <v>104</v>
      </c>
      <c r="F584" s="24">
        <v>2</v>
      </c>
      <c r="G584" s="17" t="str">
        <f>IF(OR(D583=0,D587="　"),"","アンカー工場加工")</f>
        <v>アンカー工場加工</v>
      </c>
      <c r="H584" s="29"/>
      <c r="I584" s="46" t="str">
        <f>IF(OR(D583=0,D587="　"),"","L=テンドン長")</f>
        <v>L=テンドン長</v>
      </c>
      <c r="J584" s="16" t="str">
        <f>IF(OR(D583=0,D587="　"),"","m")</f>
        <v>m</v>
      </c>
      <c r="K584" s="30">
        <f>IF(OR(D583=0,D587="　"),"",MROUND(D600,0.1))</f>
        <v>17.2</v>
      </c>
      <c r="L584" s="67">
        <f>IFERROR(D586*K584,"")</f>
        <v>172</v>
      </c>
    </row>
    <row r="585" spans="2:12" ht="11.1" customHeight="1">
      <c r="B585" s="34" t="s">
        <v>7</v>
      </c>
      <c r="C585" s="49" t="s">
        <v>6</v>
      </c>
      <c r="D585" s="2" t="s">
        <v>34</v>
      </c>
      <c r="F585" s="24">
        <v>3</v>
      </c>
      <c r="G585" s="17" t="str">
        <f>IF(OR(D583=0,D587="　",1*MID(D590,1,2)=1,1*MID(D590,1,2)&gt;=5),"","頭部キャップ")</f>
        <v>頭部キャップ</v>
      </c>
      <c r="H585" s="29" t="str" cm="1">
        <f t="array" ref="H585">IF(OR(D583=0,D587="　",1*MID(D590,1,2)=1,1*MID(D590,1,2)&gt;=5),"",IF(MID(D587,4,1)="5",_xlfn.SWITCH(1*MID(D587,6,FIND("H",D587,6)-6),1,"S",2,"S",3,"S",4,"S",5,"M",6,"M",7,"M",8,"L",9,"L",10,"L",11,"L",12,"L"),_xlfn.SWITCH(1*MID(D587,6,FIND("H",D587,6)-6),1,"S",2,"S",3,"M",4,"M",5,"L",6,"L",7,"L",8,"LL",9,"LL",10,"LL",11,"LL",12,"LL",13,"LL",14,"LL",15,"3L",16,"3L",17,"3L",18,"3L",19,"3L"))&amp;"型"&amp;MID(D588,IF(MID(D588,1,1)="G",4,1),10)&amp;IF(OR(MID(D588,1,2)="透明",MID(D588,1,2)="5窓"),"、PC樹脂","")&amp;IF(MID(D588,4,2)="鋼製","、SS400相当、HDZT77めっき","、ｱﾙﾐAC4C相当"))&amp;_xlfn.IFS(OR(D583=0,D587="　",MID(D585,1,3)="防食Ⅱ"),"",MID(D585,5,2)="塩害","、ﾀｹｺｰﾄ処理",MID(D585,5,2)="酸性","、重防食処理")</f>
        <v>S型透明ｷｬｯﾌﾟ、PC樹脂、ｱﾙﾐAC4C相当</v>
      </c>
      <c r="I585" s="52" t="str">
        <f>IF(OR(D583=0,D587="　",1*MID(D590,1,2)=1,1*MID(D590,1,2)&gt;=5),"","n=1")</f>
        <v>n=1</v>
      </c>
      <c r="J585" s="16" t="str">
        <f>IF(OR(D583=0,D587="　",1*MID(D590,1,2)=1,1*MID(D590,1,2)&gt;=5),"","個")</f>
        <v>個</v>
      </c>
      <c r="K585" s="32">
        <f>IF(OR(D583=0,D587="　",1*MID(D590,1,2)=1,1*MID(D590,1,2)&gt;=5),"",1)</f>
        <v>1</v>
      </c>
      <c r="L585" s="68">
        <f>IFERROR(D586*K585,"")</f>
        <v>10</v>
      </c>
    </row>
    <row r="586" spans="2:12" ht="11.1" customHeight="1">
      <c r="B586" s="31" t="s">
        <v>27</v>
      </c>
      <c r="C586" s="10" t="s">
        <v>5</v>
      </c>
      <c r="D586" s="75">
        <v>10</v>
      </c>
      <c r="F586" s="24">
        <v>4</v>
      </c>
      <c r="G586" s="17" t="str">
        <f>IF(OR(D583=0,D587="　",1*MID(D590,1,2)=1,1*MID(D590,1,2)&gt;=5),"","アンカーヘッド")</f>
        <v>アンカーヘッド</v>
      </c>
      <c r="H586" s="29" t="str" cm="1">
        <f t="array" ref="H586">IF(OR(D583=0,D587="　",1*MID(D590,1,2)=1,1*MID(D590,1,2)&gt;=5),"",IF(MID(D587,4,1)="5","G5"&amp;_xlfn.SWITCH(1*MID(D587,6,FIND("H",D587,6)-6),1,"01",2,"02",3,"03",4,"04",5,"07",6,"07",7,"07",8,"09",9,"09",10,"12",11,"12",12,"12"),"G6"&amp;_xlfn.SWITCH(1*MID(D587,6,FIND("H",D587,6)-6),1,"01",2,"02",3,"03",4,"04",5,"07",6,"07",7,"07",8,"09",9,"09",10,"12",11,"12",12,"12",13,"14",14,"14",15,"19",16,"19",17,"19",18,"19",19,"19"))&amp;"、S45C相当")&amp;IF(OR(D583=0,D587="　",MID(D588,1,3)="ｱﾙﾐ",1*MID(D590,1,2)=1,1*MID(D590,1,2)&gt;=5),"","、無電解Niめっき")</f>
        <v>G503、S45C相当、無電解Niめっき</v>
      </c>
      <c r="I586" s="52" t="str">
        <f>IF(OR(D583=0,D587="　",1*MID(D590,1,2)=1,1*MID(D590,1,2)&gt;=5),"","n=1")</f>
        <v>n=1</v>
      </c>
      <c r="J586" s="16" t="str">
        <f>IF(OR(D583=0,D587="　",1*MID(D590,1,2)=1,1*MID(D590,1,2)&gt;=5),"","個")</f>
        <v>個</v>
      </c>
      <c r="K586" s="32">
        <f>IF(OR(D583=0,D587="　",1*MID(D590,1,2)=1,1*MID(D590,1,2)&gt;=5),"",1)</f>
        <v>1</v>
      </c>
      <c r="L586" s="68">
        <f>IFERROR(D586*K586,"")</f>
        <v>10</v>
      </c>
    </row>
    <row r="587" spans="2:12" ht="11.1" customHeight="1">
      <c r="B587" s="33" t="s">
        <v>28</v>
      </c>
      <c r="C587" s="71" t="s">
        <v>6</v>
      </c>
      <c r="D587" s="7" t="s">
        <v>0</v>
      </c>
      <c r="F587" s="24">
        <v>5</v>
      </c>
      <c r="G587" s="17" t="str">
        <f>IF(OR(D583=0,D587="　",1*MID(D590,1,2)=1,1*MID(D590,1,2)&gt;=5),"","ナット")</f>
        <v>ナット</v>
      </c>
      <c r="H587" s="29" t="str" cm="1">
        <f t="array" ref="H587">IF(OR(D583=0,D587="　",1*MID(D590,1,2)=1,1*MID(D590,1,2)&gt;=5),"",IF(MID(D587,4,1)="5","G5"&amp;_xlfn.SWITCH(1*MID(D587,6,FIND("H",D587,6)-6),1,"01",2,"02",3,"03",4,"04",5,"07",6,"07",7,"07",8,"09",9,"09",10,"12",11,"12",12,"12"),"G6"&amp;_xlfn.SWITCH(1*MID(D587,6,FIND("H",D587,6)-6),1,"01",2,"02",3,"03",4,"04",5,"07",6,"07",7,"07",8,"09",9,"09",10,"12",11,"12",12,"12",13,"14",14,"14",15,"19",16,"19",17,"19",18,"19",19,"19"))&amp;"、S45C相当")&amp;IF(OR(D583=0,D587="　",MID(D588,1,3)="ｱﾙﾐ",1*MID(D590,1,2)=1,1*MID(D590,1,2)&gt;=5),"","、無電解Niめっき")</f>
        <v>G503、S45C相当、無電解Niめっき</v>
      </c>
      <c r="I587" s="52" t="str">
        <f>IF(OR(D583=0,D587="　",1*MID(D590,1,2)=1,1*MID(D590,1,2)&gt;=5),"","n=1")</f>
        <v>n=1</v>
      </c>
      <c r="J587" s="16" t="str">
        <f>IF(OR(D583=0,D587="　",1*MID(D590,1,2)=1,1*MID(D590,1,2)&gt;=5),"","個")</f>
        <v>個</v>
      </c>
      <c r="K587" s="32">
        <f>IF(OR(D583=0,D587="　",1*MID(D590,1,2)=1,1*MID(D590,1,2)&gt;=5),"",1)</f>
        <v>1</v>
      </c>
      <c r="L587" s="68">
        <f>IFERROR(D586*K587,"")</f>
        <v>10</v>
      </c>
    </row>
    <row r="588" spans="2:12" ht="11.1" customHeight="1">
      <c r="B588" s="35" t="s">
        <v>29</v>
      </c>
      <c r="C588" s="49" t="s">
        <v>6</v>
      </c>
      <c r="D588" s="2" t="s">
        <v>35</v>
      </c>
      <c r="F588" s="24">
        <v>6</v>
      </c>
      <c r="G588" s="17" t="str">
        <f>IF(OR(D583=0,D587="　",1*MID(D590,1,2)=1,1*MID(D590,1,2)&gt;=5),"","くさび")</f>
        <v>くさび</v>
      </c>
      <c r="H588" s="29" t="str">
        <f>IF(OR(D583=0,D587="　",1*MID(D590,1,2)=1,1*MID(D590,1,2)&gt;=5),"",IF(1*MID(D587,4,1)=5,"ECF12.7","ECF15.2")&amp;"、SCM415相当")&amp;IF(OR(D583=0,D587="　",MID(D588,1,3)="ｱﾙﾐ",1*MID(D590,1,2)=1,1*MID(D590,1,2)&gt;=5),"","、無電解Niめっき")</f>
        <v>ECF12.7、SCM415相当、無電解Niめっき</v>
      </c>
      <c r="I588" s="52" t="str">
        <f>IF(OR(D583=0,D587="　",1*MID(D590,1,2)=1,1*MID(D590,1,2)&gt;=5),"","n=1")</f>
        <v>n=1</v>
      </c>
      <c r="J588" s="16" t="str">
        <f>IF(OR(D583=0,D587="　",1*MID(D590,1,2)=1,1*MID(D590,1,2)&gt;=5),"","式")</f>
        <v>式</v>
      </c>
      <c r="K588" s="32">
        <f>IF(OR(D583=0,D587="　",1*MID(D590,1,2)=1,1*MID(D590,1,2)&gt;=5),"",1)</f>
        <v>1</v>
      </c>
      <c r="L588" s="68">
        <f>IFERROR(D586*K588,"")</f>
        <v>10</v>
      </c>
    </row>
    <row r="589" spans="2:12" ht="11.1" customHeight="1">
      <c r="B589" s="35" t="s">
        <v>8</v>
      </c>
      <c r="C589" s="49" t="s">
        <v>6</v>
      </c>
      <c r="D589" s="2" t="s">
        <v>36</v>
      </c>
      <c r="F589" s="24">
        <v>7</v>
      </c>
      <c r="G589" s="17" t="str">
        <f>IF(OR(D583=0,D587="　",1*MID(D590,1,2)=1,1*MID(D590,1,2)&gt;=5),"","押え板")</f>
        <v>押え板</v>
      </c>
      <c r="H589" s="29" t="str" cm="1">
        <f t="array" ref="H589">IF(OR(D583=0,D587="　",1*MID(D590,1,2)=1,1*MID(D590,1,2)&gt;=5),"",IF(MID(D587,4,1)="5","G5"&amp;_xlfn.SWITCH(1*MID(D587,6,FIND("H",D587,6)-6),1,"01",2,"04",3,"03",4,"04",5,"07",6,"07",7,"07",8,"12",9,"12",10,"12",11,"12",12,"12"),"G6"&amp;_xlfn.SWITCH(1*MID(D587,6,FIND("H",D587,6)-6),1,"01",2,"02",3,"03",4,"04",5,"07",6,"07",7,"07",8,"12",9,"12",10,"12",11,"12",12,"12",13,"14",14,"14",15,"19",16,"19",17,"19",18,"19",19,"19"))&amp;"、SS400相当")&amp;IF(OR(D583=0,D587="　",1*MID(D590,1,2)=1,1*MID(D590,1,2)&gt;=5),"","、"&amp;_xlfn.IFS(MID(D585,1,3)="防食Ⅱ","HDZT77めっき",MID(D585,5,2)="塩害","ｱﾙﾐﾅｲｽﾞ処理",MID(D585,5,2)="酸性","重防食処理"))</f>
        <v>G503、SS400相当、HDZT77めっき</v>
      </c>
      <c r="I589" s="52" t="str">
        <f>IF(OR(D583=0,D587="　",1*MID(D590,1,2)=1,1*MID(D590,1,2)&gt;=5),"","n=1")</f>
        <v>n=1</v>
      </c>
      <c r="J589" s="16" t="str">
        <f>IF(OR(D583=0,D587="　",1*MID(D590,1,2)=1,1*MID(D590,1,2)&gt;=5),"","枚")</f>
        <v>枚</v>
      </c>
      <c r="K589" s="32">
        <f>IF(OR(D583=0,D587="　",1*MID(D590,1,2)=1,1*MID(D590,1,2)&gt;=5),"",1)</f>
        <v>1</v>
      </c>
      <c r="L589" s="68">
        <f>IFERROR(D586*K589,"")</f>
        <v>10</v>
      </c>
    </row>
    <row r="590" spans="2:12" ht="11.1" customHeight="1">
      <c r="B590" s="36" t="s">
        <v>87</v>
      </c>
      <c r="C590" s="72" t="s">
        <v>6</v>
      </c>
      <c r="D590" s="8" t="s">
        <v>42</v>
      </c>
      <c r="F590" s="24">
        <v>8</v>
      </c>
      <c r="G590" s="17" t="str">
        <f>IF(OR(D583=0,D587="　"),"",IF(OR(1*MID(D590,1,2)=1,1*MID(D590,1,2)&gt;=5,MID(D589,1,3)&lt;&gt;"のり面"),"","管付")&amp;"支圧板")</f>
        <v>管付支圧板</v>
      </c>
      <c r="H590" s="29" t="str" cm="1">
        <f t="array" ref="H590">IF(OR(D583=0,D587="　"),"","PL"&amp;IF(OR(1*MID(D590,1,2)=1,1*MID(D590,1,2)&gt;=5,MID(D589,1,3)&lt;&gt;"のり面"),"","P")&amp;IF(MID(D587,4,1)="5","5-"&amp;_xlfn.SWITCH(1*MID(D587,6,FIND("H",D587,6)-6),1,"1",2,"2",3,"3",4,"4",5,"5",6,"6",7,"7",8,"9",9,"9",10,"10",11,"11",12,"12"),"6-"&amp;_xlfn.SWITCH(1*MID(D587,6,FIND("H",D587,6)-6),1,"1",2,"2",3,"3",4,"4",5,"6",6,"6",7,"7",8,"8",9,"9",10,"10",11,"11",12,"12",13,"14",14,"14",15,"16",16,"16",17,"17",18,"18",19,"19"))&amp;"、SS400相当")&amp;IF(OR(D583=0,D587="　"),"","、"&amp;_xlfn.IFS(MID(D585,1,3)="防食Ⅱ","HDZT77めっき",MID(D585,5,2)="塩害","ｱﾙﾐﾅｲｽﾞ処理",MID(D585,5,2)="酸性","重防食処理"))</f>
        <v>PLP5-3、SS400相当、HDZT77めっき</v>
      </c>
      <c r="I590" s="52" t="str">
        <f>IF(OR(D583=0,D587="　"),"","n=1")</f>
        <v>n=1</v>
      </c>
      <c r="J590" s="16" t="str">
        <f>IF(OR(D583=0,D587="　"),"","枚")</f>
        <v>枚</v>
      </c>
      <c r="K590" s="32">
        <f>IF(OR(D583=0,D587="　"),"",1)</f>
        <v>1</v>
      </c>
      <c r="L590" s="68">
        <f>IFERROR(D586*K590,"")</f>
        <v>10</v>
      </c>
    </row>
    <row r="591" spans="2:12" ht="11.1" customHeight="1">
      <c r="B591" s="37" t="str" cm="1">
        <f t="array" ref="B591">"頭部自由長"&amp;_xlfn.IFS(MID(D589,1,2)="なし","",MID(D589,1,3)="受圧体","(受圧体)",MID(D589,1,3)="のり面","(角度台座＋受圧体)",MID(D589,1,3)="構造物","(壁面台座)",MID(D589,1,3)="土留め","(台座+腹起し)",MID(D589,1,3)="個別台","(個別台座+腹起し)")&amp;"　Lfh"</f>
        <v>頭部自由長(角度台座＋受圧体)　Lfh</v>
      </c>
      <c r="C591" s="9" t="s">
        <v>10</v>
      </c>
      <c r="D591" s="75">
        <v>0.5</v>
      </c>
      <c r="F591" s="24">
        <v>9</v>
      </c>
      <c r="G591" s="17" t="str">
        <f>IF(OR(D583=0,D587="　",1*MID(D590,1,2)=1,1*MID(D590,1,2)&gt;=5),"","止水ゴム")</f>
        <v>止水ゴム</v>
      </c>
      <c r="H591" s="29" t="str">
        <f>IF(OR(D583=0,D587="　",1*MID(D590,1,2)=1,1*MID(D590,1,2)&gt;=5),"","G"&amp;MID(D587,4,4)&amp;"、NBR45相当")</f>
        <v>G5-3H、NBR45相当</v>
      </c>
      <c r="I591" s="52" t="str">
        <f>IF(OR(D583=0,D587="　",1*MID(D590,1,2)=1,1*MID(D590,1,2)&gt;=5),"","n=1")</f>
        <v>n=1</v>
      </c>
      <c r="J591" s="16" t="str">
        <f>IF(OR(D583=0,D587="　",1*MID(D590,1,2)=1,1*MID(D590,1,2)&gt;=5),"","個")</f>
        <v>個</v>
      </c>
      <c r="K591" s="32">
        <f>IF(OR(D583=0,D587="　",1*MID(D590,1,2)=1,1*MID(D590,1,2)&gt;=5),"",1)</f>
        <v>1</v>
      </c>
      <c r="L591" s="68">
        <f>IFERROR(D586*K591,"")</f>
        <v>10</v>
      </c>
    </row>
    <row r="592" spans="2:12" ht="11.1" customHeight="1">
      <c r="B592" s="31" t="s">
        <v>11</v>
      </c>
      <c r="C592" s="10" t="s">
        <v>10</v>
      </c>
      <c r="D592" s="75">
        <v>8.5</v>
      </c>
      <c r="F592" s="24">
        <v>10</v>
      </c>
      <c r="G592" s="17" t="str" cm="1">
        <f t="array" ref="G592">IF(OR(D583=0,D587="　",1*MID(D590,1,2)=1,1*MID(D590,1,2)&gt;=5),"",_xlfn.IFS(MID(D588,1,3)="ｱﾙﾐ","頭部防錆油",MID(D588,1,3)&lt;&gt;"ｱﾙﾐ","余長キャップ"))</f>
        <v>余長キャップ</v>
      </c>
      <c r="H592" s="29" t="str" cm="1">
        <f t="array" ref="H592">_xlfn.IFS(OR(D583=0,D587="　",1*MID(D590,1,2)=1,1*MID(D590,1,2)&gt;=5),"",MID(D588,1,3)="ｱﾙﾐ","PCコートC",MID(D588,1,3)&lt;&gt;"ｱﾙﾐ","TC"&amp;MID(D587,4,1)&amp;"、高密度ポリエチレン")</f>
        <v>TC5、高密度ポリエチレン</v>
      </c>
      <c r="I592" s="52" t="str" cm="1">
        <f t="array" ref="I592">_xlfn.IFS(OR(D583=0,D587="　",1*MID(D590,1,2)=1,1*MID(D590,1,2)&gt;=5),"",MID(D588,1,3)="ｱﾙﾐ","W="&amp;IF(MID(D587,4,1)="5",_xlfn.SWITCH(1*MID(LEFT(D587, LEN(D587)-1),6,2),1,1.9,2,1.3,3,1.3,4,1.3,5,1.6,6,1.6,7,1.6,8,3.1,9,3.1,10,3.1,11,3.1,12,3.1),"G6"&amp;_xlfn.SWITCH(1*MID(LEFT(D587, LEN(D587)-1),6,2),1,1.8,2,1.3,3,1.8,4,1.8,5,3.3,6,3.3,7,3.3,8,9.9,9,9.9,10,9.9,11,9.9,12,9.9,13,9.9,14,9.9)),MID(D588,1,3)&lt;&gt;"ｱﾙﾐ","n=1")</f>
        <v>n=1</v>
      </c>
      <c r="J592" s="16" t="str" cm="1">
        <f t="array" ref="J592">_xlfn.IFS(OR(D583=0,D587="　",1*MID(D590,1,2)=1,1*MID(D590,1,2)&gt;=5),"",MID(D588,1,3)="ｱﾙﾐ","kg",MID(D588,1,3)&lt;&gt;"ｱﾙﾐ","式")</f>
        <v>式</v>
      </c>
      <c r="K592" s="80" cm="1">
        <f t="array" ref="K592">_xlfn.IFS(OR(D583=0,D587="　",1*MID(D590,1,2)=1,1*MID(D590,1,2)&gt;=5),"",MID(D588,1,3)="ｱﾙﾐ",_xlfn.SWITCH(MID(D587,4,1),"5",_xlfn.SWITCH(1*MID(D587,6,FIND("H",D587,6)-6),1,1.9,2,1.3,3,1.3,4,1.3,5,1.6,6,1.6,7,1.6,8,3.1,9,3.1,10,3.1,11,3.1,12,3.1),"6",_xlfn.SWITCH(1*MID(D587,6,FIND("H",D587,6)-6),1,1.8,2,1.3,3,1.8,4,1.8,5,3.3,6,3.3,7,3.3,8,9.9,9,9.9,10,9.9,11,9.9,12,9.9,13,9.9,14,9.9)),MID(D588,1,3)&lt;&gt;"ｱﾙﾐ",1)</f>
        <v>1</v>
      </c>
      <c r="L592" s="68">
        <f>IFERROR(D586*K592,"")</f>
        <v>10</v>
      </c>
    </row>
    <row r="593" spans="2:12" ht="11.1" customHeight="1">
      <c r="B593" s="39" t="s">
        <v>18</v>
      </c>
      <c r="C593" s="40" t="s">
        <v>10</v>
      </c>
      <c r="D593" s="75">
        <v>7</v>
      </c>
      <c r="F593" s="24">
        <v>11</v>
      </c>
      <c r="G593" s="17" t="str">
        <f>IF(OR(D583=0,D587="　",1*MID(D590,1,2)=1,1*MID(D590,1,2)&gt;=5),"","配列スペーサ")</f>
        <v>配列スペーサ</v>
      </c>
      <c r="H593" s="29" t="str">
        <f>IF(OR(D583=0,D587="　",1*MID(D590,1,2)=1,1*MID(D590,1,2)&gt;=5),"",IF(MID(D587,4,1)="5","PS5-"&amp;_xlfn.SWITCH(1*MID(D587,6,FIND("H",D587,6)-6),1,"7",2,"2",3,"3",4,"4",5,"7",6,"7",7,"7",8,"12",9,"12",10,"12",11,"12",12,"12"),"PS6-"&amp;_xlfn.SWITCH(1*MID(D587,6,FIND("H",D587,6)-6),1,"7",2,"2",3,"3",4,"4",5,"7",6,"7",7,"7",8,"12",9,"12",10,"12",11,"12",12,"12",13,"14",14,"14",15,"19",16,"19",17,"19",18,"19",19,"19"))&amp;"、ポリエチレン")</f>
        <v>PS5-3、ポリエチレン</v>
      </c>
      <c r="I593" s="52" t="str">
        <f>IF(OR(D583=0,D587="　",1*MID(D590,1,2)=1,1*MID(D590,1,2)&gt;=5),"","n=2")</f>
        <v>n=2</v>
      </c>
      <c r="J593" s="16" t="str">
        <f>IF(OR(D583=0,D587="　",1*MID(D590,1,2)=1,1*MID(D590,1,2)&gt;=5),"","個")</f>
        <v>個</v>
      </c>
      <c r="K593" s="32">
        <f>IF(OR(D583=0,D587="　",1*MID(D590,1,2)=1,1*MID(D590,1,2)&gt;=5),"",2)</f>
        <v>2</v>
      </c>
      <c r="L593" s="68">
        <f>IFERROR(D586*K593,"")</f>
        <v>20</v>
      </c>
    </row>
    <row r="594" spans="2:12" ht="11.1" customHeight="1">
      <c r="B594" s="36" t="s">
        <v>17</v>
      </c>
      <c r="C594" s="11" t="s">
        <v>16</v>
      </c>
      <c r="D594" s="54">
        <v>90</v>
      </c>
      <c r="F594" s="24">
        <v>12</v>
      </c>
      <c r="G594" s="17" t="str">
        <f>IF(OR(D583=0,D587="　"),"","スペーサ")</f>
        <v>スペーサ</v>
      </c>
      <c r="H594" s="29" t="str" cm="1">
        <f t="array" ref="H594">IF(OR(D583=0,D587="　"),"",IF(MID(D587,4,1)="5","S5-"&amp;_xlfn.IFS(1*MID(D587,6,FIND("H",D587,6)-6)&lt;6,"5",1*MID(D587,6,FIND("H",D587,6)-6)&lt;9,"8",1*MID(D587,6,FIND("H",D587,6)-6)&gt;8,"12"),"S6-"&amp;_xlfn.IFS(1*MID(D587,6,FIND("H",D587,6)-6)&lt;4,"3",1*MID(D587,6,FIND("H",D587,6)-6)&lt;7,"6",1*MID(D587,6,FIND("H",D587,6)-6)&lt;10,"9",1*MID(D587,6,FIND("H",D587,6)-6)&lt;13,"12",1*MID(D587,6,FIND("H",D587,6)-6)&lt;15,"14",1*MID(D587,6,FIND("H",D587,6)-6)&lt;20,"19"))&amp;"、ポリプロピレン")</f>
        <v>S5-5、ポリプロピレン</v>
      </c>
      <c r="I594" s="58" t="str">
        <f>IF(OR(D583=0,D587="　"),"","n=mround(アンカー体長－0.4)÷@1.0m, 1.0)")</f>
        <v>n=mround(アンカー体長－0.4)÷@1.0m, 1.0)</v>
      </c>
      <c r="J594" s="16" t="str">
        <f>IF(OR(D583=0,D587="　"),"","個")</f>
        <v>個</v>
      </c>
      <c r="K594" s="38">
        <f>IF(OR(D583=0,D587="　"),"",MROUND((D593-0.4)/1,1))</f>
        <v>7</v>
      </c>
      <c r="L594" s="67">
        <f>IFERROR(D586*K594,"")</f>
        <v>70</v>
      </c>
    </row>
    <row r="595" spans="2:12" ht="11.1" customHeight="1">
      <c r="B595" s="41" t="s">
        <v>37</v>
      </c>
      <c r="C595" s="5" t="s">
        <v>16</v>
      </c>
      <c r="D595" s="66" cm="1">
        <f t="array" ref="D595">IF(OR(D583=0,D587="　"),"",_xlfn.SWITCH(1*MID(D590,1,2),0,_xlfn.SWITCH(1*MID(D587,4,1),5,_xlfn.SWITCH(1*MID(LEFT(D587, LEN(D587)-1),6,2),1,90,2,90,3,90,4,90,5,90,6,115,7,115,8,115,9,135,10,135,11,135,12,135),6,_xlfn.SWITCH(1*MID(LEFT(D587, LEN(D587)-1),6,2),1,90,2,90,3,90,4,115,5,115,6,115,7,135,8,135,9,135,10,146,11,146,12,146,13,165,14,165)),1,_xlfn.SWITCH(1*MID(D587,4,1),5,_xlfn.SWITCH(1*MID(LEFT(D587, LEN(D587)-1),6,2),1,90,2,90,3,90,4,90,5,115,6,115,7,135,8,135,9,135,10,135,11,165,12,165),6,_xlfn.SWITCH(1*MID(LEFT(D587, LEN(D587)-1),6,2),1,90,2,90,3,115,4,115,5,135,6,135,7,135,8,135,9,135,10,165,11,165,12,165,13,165,14,165)),2,_xlfn.SWITCH(1*MID(D587,4,1),5,_xlfn.SWITCH(1*MID(LEFT(D587, LEN(D587)-1),6,2),1,90,2,90,3,115,4,115,5,115,6,115,7,135,8,135,9,146,10,146,11,146,12,146),6,_xlfn.SWITCH(1*MID(LEFT(D587, LEN(D587)-1),6,2),1,90,2,90,3,115,4,115,5,135,6,135,7,146,8,146,9,146,10,165,11,165,12,165,13,216,14,216)),3,_xlfn.SWITCH(1*MID(D587,4,1),5,_xlfn.SWITCH(1*MID(LEFT(D587, LEN(D587)-1),6,2),1,115,2,115,3,115,4,115,5,115,6,135,7,135,8,135,9,146,10,146,11,146,12,146),6,_xlfn.SWITCH(1*MID(LEFT(D587, LEN(D587)-1),6,2),1,115,2,115,3,115,4,135,5,135,6,135,7,146,8,146,9,146,10,165,11,165,12,165,13,216,14,216)),4,_xlfn.SWITCH(1*MID(D587,4,1),5,_xlfn.SWITCH(1*MID(LEFT(D587, LEN(D587)-1),6,2),1,115,2,115,3,115,4,115,5,115,6,135,7,135,8,135,9,146,10,146,11,146,12,146),6,_xlfn.SWITCH(1*MID(LEFT(D587, LEN(D587)-1),6,2),1,115,2,115,3,115,4,135,5,135,6,135,7,146,8,146,9,146,10,165,11,165,12,165,13,216,14,216)),5,_xlfn.SWITCH(1*MID(D587,4,1),5,_xlfn.SWITCH(1*MID(LEFT(D587, LEN(D587)-1),6,2),1,90,2,90,3,115,4,115,5,115,6,115,7,135,8,135,9,165,10,165,11,165,12,165),6,_xlfn.SWITCH(1*MID(LEFT(D587, LEN(D587)-1),6,2),1,90,2,90,3,115,4,115,5,135,6,135,7,165,8,165,9,165,10,165,11,165,12,165,13,216,14,216)),6,_xlfn.SWITCH(1*MID(D587,4,1),5,_xlfn.SWITCH(1*MID(LEFT(D587, LEN(D587)-1),6,2),1,115,2,115,3,115,4,115,5,115,6,135,7,135,8,135,9,165,10,165,11,165,12,165),6,_xlfn.SWITCH(1*MID(LEFT(D587, LEN(D587)-1),6,2),1,115,2,115,3,115,4,135,5,135,6,135,7,165,8,165,9,165,10,165,11,165,12,165,13,216,14,216)),7,_xlfn.SWITCH(1*MID(D587,4,1),5,_xlfn.SWITCH(1*MID(LEFT(D587, LEN(D587)-1),6,2),1,115,2,115,3,115,4,115,5,115,6,135,7,135,8,135,9,165,10,165,11,165,12,165),6,_xlfn.SWITCH(1*MID(LEFT(D587, LEN(D587)-1),6,2),1,115,2,115,3,115,4,135,5,135,6,135,7,165,8,165,9,165,10,165,11,165,12,165,13,216,14,216))))</f>
        <v>90</v>
      </c>
      <c r="F595" s="24">
        <v>13</v>
      </c>
      <c r="G595" s="17" t="str">
        <f>IF(OR(D583=0,D587="　"),"","ﾊﾟｲﾛｯﾄｷｬｯﾌﾟ")</f>
        <v>ﾊﾟｲﾛｯﾄｷｬｯﾌﾟ</v>
      </c>
      <c r="H595" s="29" t="str" cm="1">
        <f t="array" ref="H595">IF(OR(D583=0,D587="　"),"",IF(MID(D587,4,1)="5","PC5-"&amp;_xlfn.IFS(1*MID(D587,6,FIND("H",D587,6)-6)&lt;5,"4",1*MID(D587,6,FIND("H",D587,6)-6)&lt;8,"7",1*MID(D587,6,FIND("H",D587,6)-6)&lt;10,"9",1*MID(D587,6,FIND("H",D587,6)-6)&gt;9,"12"),"PC6-"&amp;_xlfn.IFS(1*MID(D587,6,FIND("H",D587,6)-6)&lt;4,"3",1*MID(D587,6,FIND("H",D587,6)-6)&lt;8,"7",1*MID(D587,6,FIND("H",D587,6)-6)&lt;13,"12",1*MID(D587,6,FIND("H",D587,6)-6)&lt;15,"14",1*MID(D587,6,FIND("H",D587,6)-6)&lt;20,"19"))&amp;"、ポリプロピレン")</f>
        <v>PC5-4、ポリプロピレン</v>
      </c>
      <c r="I595" s="52" t="str">
        <f>IF(OR(D583=0,D587="　"),"","n=1")</f>
        <v>n=1</v>
      </c>
      <c r="J595" s="16" t="str">
        <f>IF(OR(D583=0,D587="　"),"","個")</f>
        <v>個</v>
      </c>
      <c r="K595" s="32">
        <f>IF(OR(D583=0,D587="　"),"",1)</f>
        <v>1</v>
      </c>
      <c r="L595" s="68">
        <f>IFERROR(D586*K595,"")</f>
        <v>10</v>
      </c>
    </row>
    <row r="596" spans="2:12" ht="11.1" customHeight="1">
      <c r="B596" s="43" t="s">
        <v>30</v>
      </c>
      <c r="C596" s="44" t="s">
        <v>31</v>
      </c>
      <c r="D596" s="59" t="str">
        <f>IF(OR(D583=0,D587="　"),"",IF(D594=D595,"OK","CHECK"))</f>
        <v>OK</v>
      </c>
      <c r="F596" s="24">
        <v>14</v>
      </c>
      <c r="G596" s="17" t="str">
        <f>IF(OR(D583=0,D587="　"),"","結束バンド")</f>
        <v>結束バンド</v>
      </c>
      <c r="H596" s="29" t="str">
        <f>IF(OR(D583=0,D587="　"),"","66ナイロン")</f>
        <v>66ナイロン</v>
      </c>
      <c r="I596" s="58" t="str">
        <f>IF(OR(D583=0,D587="　"),"","n=スペーサ数×2")</f>
        <v>n=スペーサ数×2</v>
      </c>
      <c r="J596" s="16" t="str">
        <f>IF(OR(D583=0,D587="　"),"","本")</f>
        <v>本</v>
      </c>
      <c r="K596" s="38">
        <f>IF(OR(D583=0,D587="　"),"",2*K594)</f>
        <v>14</v>
      </c>
      <c r="L596" s="67">
        <f>IFERROR(D586*K596,"")</f>
        <v>140</v>
      </c>
    </row>
    <row r="597" spans="2:12" ht="11.1" customHeight="1">
      <c r="B597" s="45" t="s">
        <v>12</v>
      </c>
      <c r="C597" s="9" t="s">
        <v>10</v>
      </c>
      <c r="D597" s="60">
        <f>IF(OR(D583=0,D587="　"),"──",SUM(D591:D592))</f>
        <v>9</v>
      </c>
      <c r="F597" s="24">
        <v>15</v>
      </c>
      <c r="G597" s="17" t="str">
        <f>IF(OR(D583=0,D587="　"),"","結束テープ")</f>
        <v>結束テープ</v>
      </c>
      <c r="H597" s="29" t="str">
        <f>IF(OR(D583=0,D587="　"),"","フィラメントテープ")</f>
        <v>フィラメントテープ</v>
      </c>
      <c r="I597" s="58" t="str">
        <f>IF(OR(D583=0,D587="　"),"","L=(自由長+緊張部長)÷@1.0m×テープ係数"&amp;IF(MID(D587,4,1)="5",_xlfn.IFS(1*MID(LEFT(D587, LEN(D587)-1),6,2)&lt;4,"0.8",1*MID(LEFT(D587, LEN(D587)-1),6,2)&lt;7,"1.0",1*MID(LEFT(D587, LEN(D587)-1),6,2)&lt;10,"1.2",1*MID(LEFT(D587, LEN(D587)-1),6,2)&lt;13,"1.4"),_xlfn.IFS(1*MID(LEFT(D587, LEN(D587)-1),6,2)&lt;4,"1.0",1*MID(LEFT(D587, LEN(D587)-1),6,2)&lt;7,"1.2",1*MID(LEFT(D587, LEN(D587)-1),6,2)&lt;10,"1.4",1*MID(LEFT(D587, LEN(D587)-1),6,2)&lt;15,"1.8")))</f>
        <v>L=(自由長+緊張部長)÷@1.0m×テープ係数0.8</v>
      </c>
      <c r="J597" s="16" t="str">
        <f>IF(OR(D583=0,D587="　"),"","m")</f>
        <v>m</v>
      </c>
      <c r="K597" s="42" cm="1">
        <f t="array" ref="K597">IF(OR(D583=0,D587="　"),"",MROUND((SUM(D597,D598))/1*IF(MID(D587,4,1)="5",_xlfn.SWITCH(1*MID(D587,6,FIND("H",D587,6)-6),1,0.8,2,0.8,3,0.8,4,1,5,1,6,1,7,1.2,8,1.2,9,1.2,10,1.4,11,1.4,12,1.4),_xlfn.SWITCH(1*MID(D587,6,FIND("H",D587,6)-6),1,1,2,1,3,1,4,1.2,5,1.2,6,1.2,7,1.4,8,1.4,9,1.4,10,1.8,11,1.8,12,1.8,13,1.8,14,1.8,15,2.5,16,2.5,17,2.5,18,2.5,19,2.5)),0.1))</f>
        <v>8</v>
      </c>
      <c r="L597" s="69">
        <f>IFERROR(D586*K597,"")</f>
        <v>80</v>
      </c>
    </row>
    <row r="598" spans="2:12" ht="11.1" customHeight="1">
      <c r="B598" s="47" t="s">
        <v>13</v>
      </c>
      <c r="C598" s="10" t="s">
        <v>10</v>
      </c>
      <c r="D598" s="61" cm="1">
        <f t="array" ref="D598">IF(OR(D583=0,D587="　"),"──",IF(MID(D587,4,1)="5",_xlfn.IFS(1*MID(LEFT(D587,LEN(D587)-1),6,2)&lt;8,1,1*MID(LEFT(D587,LEN(D587)-1),6,2)&lt;13,1.2),_xlfn.IFS(1*MID(LEFT(D587,LEN(D587)-1),6,2)&lt;6,1,1*MID(LEFT(D587,LEN(D587)-1),6,2)&lt;15,1.2)))</f>
        <v>1</v>
      </c>
      <c r="F598" s="24">
        <v>16</v>
      </c>
      <c r="G598" s="17" t="str">
        <f>IF(OR(D583=0,D587="　",1*MID(D590,1,2)=1,1*MID(D590,1,2)=5),"","注入ホース")</f>
        <v>注入ホース</v>
      </c>
      <c r="H598" s="29" t="str">
        <f>IF(OR(D583=0,D587="　",1*MID(D590,1,2)=1,1*MID(D590,1,2)=5),"","φ16/20、高密度ポリエチレン")</f>
        <v>φ16/20、高密度ポリエチレン</v>
      </c>
      <c r="I598" s="46" t="str">
        <f>IF(OR(D583=0,D587="　",1*MID(D590,1,2)=1,1*MID(D590,1,2)=5),"","L=テンドン長")</f>
        <v>L=テンドン長</v>
      </c>
      <c r="J598" s="16" t="str">
        <f>IF(OR(D583=0,D587="　",1*MID(D590,1,2)=1,1*MID(D590,1,2)=5),"","m")</f>
        <v>m</v>
      </c>
      <c r="K598" s="30">
        <f>IF(OR(D583=0,D587="　",1*MID(D590,1,2)=1,1*MID(D590,1,2)=5),"",MROUND(D600,0.1))</f>
        <v>17.2</v>
      </c>
      <c r="L598" s="67">
        <f>IFERROR(D586*K598,"")</f>
        <v>172</v>
      </c>
    </row>
    <row r="599" spans="2:12" ht="11.1" customHeight="1">
      <c r="B599" s="48" t="s">
        <v>19</v>
      </c>
      <c r="C599" s="10" t="s">
        <v>14</v>
      </c>
      <c r="D599" s="62">
        <f>IF(OR(D583=0,D587="　"),"──",0.2)</f>
        <v>0.2</v>
      </c>
      <c r="F599" s="24">
        <v>17</v>
      </c>
      <c r="G599" s="17" t="str" cm="1">
        <f t="array" ref="G599">_xlfn.IFS(OR(D583=0,D587="　",MID(D589,1,2)="なし",MID(D589,1,3)="受圧体",1*MID(D590,1,2)=1,1*MID(D590,1,2)&gt;=5),"",MID(D589,1,3)="のり面","のり面角度台座",MID(D589,1,3)="構造物","構造物壁面台座",MID(D589,1,3)="土留め","土留め台座",MID(D589,1,3)="個別台","個別台座")</f>
        <v>のり面角度台座</v>
      </c>
      <c r="H599" s="46" t="str" cm="1">
        <f t="array" ref="H599">IF(OR(D583=0,D587="　",G599=""),"",_xlfn.IFS(MID(D589,1,3)="のり面",IF(1*MID(D587,4,1)=5,_xlfn.IFS(1*MID(D587,6,FIND("H",D587,6)-6)&lt;5,"ST140",1*MID(D587,6,FIND("H",D587,6)-6)&lt;8,"ST170",1*MID(D587,6,FIND("H",D587,6)-6)&lt;13,"ST220"),_xlfn.IFS(1*MID(D587,6,FIND("H",D587,6)-6)&lt;4,"ST140",1*MID(D587,6,FIND("H",D587,6)-6)&lt;5,"ST170",1*MID(D587,6,FIND("H",D587,6)-6)&lt;8,"ST220",1*MID(D587,6,FIND("H",D587,6)-6)&lt;20,"非該当"))&amp;"、FCD450相当",OR(MID(D589,1,3)="構造物",MID(D589,1,3)="土留め",MID(D589,1,3)="個別台"),D587&amp;"用"&amp;_xlfn.IFS(MID(D589,1,3)="構造物","",MID(D589,1,3)="土留め",IF(1*MID(D587,4,1)=5,_xlfn.SWITCH(1*MID(D587,6,FIND("H",D587,6)-6),1,"DA110",2,"DA220",3,"DA330",4,"DA440",5,"DA550",6,"DA660",7,"DA770",8,"DA880",9,"DA990",10,"DA1100",11,"DA1210",12,"DA1320"),_xlfn.SWITCH(1*MID(D587,6,FIND("H",D587,6)-6),1,"DA220",2,"DA330",3,"DA550",4,"DA660",5,"DA880",6,"DA990",7,"DA1100",8,"DA1320",9,"DA1410",10,"DA1570",11,"DA1730",12,"DA1880",13,"DA2040",14,"DA2200")),MID(D589,1,3)="個別台",D602)))&amp;IF(OR(D583=0,D587="　",G599=""),"","、"&amp;_xlfn.IFS(MID(D585,1,3)="防食Ⅱ","HDZT77めっき",MID(D585,5,2)="塩害","ｱﾙﾐﾅｲｽﾞ処理",MID(D585,5,2)="酸性","重防食処理"))</f>
        <v>ST140、FCD450相当、HDZT77めっき</v>
      </c>
      <c r="I599" s="52" t="str">
        <f>IF(OR(D583=0,D587="　",G599=""),"","n=1")</f>
        <v>n=1</v>
      </c>
      <c r="J599" s="16" t="str">
        <f>IF(OR(D583=0,D587="　",G599=""),"","台")</f>
        <v>台</v>
      </c>
      <c r="K599" s="32">
        <f>IF(OR(D583=0,D587="　",G599=""),"",1)</f>
        <v>1</v>
      </c>
      <c r="L599" s="68">
        <f>IFERROR(D586*K599,"")</f>
        <v>10</v>
      </c>
    </row>
    <row r="600" spans="2:12" ht="11.1" customHeight="1">
      <c r="B600" s="50" t="s">
        <v>20</v>
      </c>
      <c r="C600" s="10" t="s">
        <v>10</v>
      </c>
      <c r="D600" s="63">
        <f>IF(OR(D583=0,D587="　"),"──",SUM(D593,D597:D599))</f>
        <v>17.2</v>
      </c>
      <c r="F600" s="24">
        <v>18</v>
      </c>
      <c r="G600" s="17" t="str">
        <f>IF(OR(D583=0,D587="　",MID(D589,1,3)&lt;&gt;"のり面",1*MID(D590,1,2)=1,1*MID(D590,1,2)&gt;=5),"","補剛板")</f>
        <v>補剛板</v>
      </c>
      <c r="H600" s="46" t="str" cm="1">
        <f t="array" ref="H600">IF(OR(D583=0,D587="　",G600=""),"",IF(MID(D587,4,1)="5","□"&amp;_xlfn.SWITCH(1*MID(D587,6,FIND("H",D587,6)-6),1,"210φ131t12",2,"210φ131t12",3,"240φ131t12",4,"270φ131t12",5,"280φ143t12",6,"310φ143t16",7,"350φ143t19",8,"350φ180t19",9,"350φ180t19",10,"350φ180t19",11,"350φ180t22",12,"350φ180t22"),"□"&amp;_xlfn.SWITCH(1*MID(D587,6,FIND("H",D587,6)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583=0,D587="　",G600=""),"","、"&amp;_xlfn.IFS(MID(D585,1,3)="防食Ⅱ","HDZT77めっき",MID(D585,5,2)="塩害","ｱﾙﾐﾅｲｽﾞ処理",MID(D585,5,2)="酸性","重防食処理"))</f>
        <v>□240φ131t12、SS400相当、HDZT77めっき</v>
      </c>
      <c r="I600" s="52" t="str">
        <f>IF(OR(D583=0,D587="　",G600=""),"","n=1")</f>
        <v>n=1</v>
      </c>
      <c r="J600" s="16" t="str">
        <f>IF(OR(D583=0,D587="　",G600=""),"","枚")</f>
        <v>枚</v>
      </c>
      <c r="K600" s="32">
        <f>IF(OR(D583=0,D587="　",G600=""),"",1)</f>
        <v>1</v>
      </c>
      <c r="L600" s="68">
        <f>IFERROR(D586*K600,"")</f>
        <v>10</v>
      </c>
    </row>
    <row r="601" spans="2:12" ht="11.1" customHeight="1">
      <c r="B601" s="51" t="s">
        <v>15</v>
      </c>
      <c r="C601" s="12" t="s">
        <v>10</v>
      </c>
      <c r="D601" s="64">
        <f>IF(OR(D583=0,D587="　"),"──",0.25)</f>
        <v>0.25</v>
      </c>
      <c r="F601" s="24">
        <v>19</v>
      </c>
      <c r="G601" s="17" t="str" cm="1">
        <f t="array" ref="G601">_xlfn.IFS(OR(D583=0,D587="　",MID(D588,1,3)="ｱﾙﾐ",1*MID(D590,1,2)=1,1*MID(D590,1,2)&gt;=5),"",MID(D588,1,3)&lt;&gt;"ｱﾙﾐ","テンドン補修用塗料")</f>
        <v>テンドン補修用塗料</v>
      </c>
      <c r="H601" s="38" t="str" cm="1">
        <f t="array" ref="H601">_xlfn.IFS(OR(D583=0,D587="　",MID(D588,1,3)="ｱﾙﾐ",1*MID(D590,1,2)=1,1*MID(D590,1,2)&gt;=5),"",MID(D588,1,3)&lt;&gt;"ｱﾙﾐ","エポキシ樹脂")</f>
        <v>エポキシ樹脂</v>
      </c>
      <c r="I601" s="52" t="str" cm="1">
        <f t="array" ref="I601">_xlfn.IFS(OR(D583=0,D587="　",MID(D588,1,3)="ｱﾙﾐ",1*MID(D590,1,2)=1,1*MID(D590,1,2)&gt;=5),"",MID(D588,1,3)&lt;&gt;"ｱﾙﾐ","W=PC鋼より線本数×"&amp;IF(MID(D587,4,1)="5","0.28","0.4"))</f>
        <v>W=PC鋼より線本数×0.28</v>
      </c>
      <c r="J601" s="16" t="str" cm="1">
        <f t="array" ref="J601">_xlfn.IFS(OR(D583=0,D587="　",MID(D588,1,3)="ｱﾙﾐ",1*MID(D590,1,2)=1,1*MID(D590,1,2)&gt;=5),"",MID(D588,1,3)&lt;&gt;"ｱﾙﾐ","g")</f>
        <v>g</v>
      </c>
      <c r="K601" s="77" cm="1">
        <f t="array" ref="K601">_xlfn.IFS(OR(D583=0,D587="　",MID(D588,1,3)="ｱﾙﾐ",1*MID(D590,1,2)=1,1*MID(D590,1,2)&gt;=5),"",MID(D588,1,3)&lt;&gt;"ｱﾙﾐ",MID(D587,6,FIND("H",D587,6)-6)*IF(MID(D587,4,1)="5",0.28,0.4))</f>
        <v>0.84000000000000008</v>
      </c>
      <c r="L601" s="78">
        <f>IFERROR(D586*K601,"")</f>
        <v>8.4</v>
      </c>
    </row>
    <row r="602" spans="2:12" ht="11.1" customHeight="1">
      <c r="B602" s="65" t="s">
        <v>32</v>
      </c>
      <c r="C602" s="3" t="s">
        <v>33</v>
      </c>
      <c r="D602" s="76"/>
      <c r="F602" s="24">
        <v>20</v>
      </c>
      <c r="G602" s="17" t="str" cm="1">
        <f t="array" ref="G602">_xlfn.IFS(OR(D583=0,D587="　",MID(D588,1,3)="ｱﾙﾐ",1*MID(D590,1,2)=1,1*MID(D590,1,2)&gt;=5),"",MID(D588,1,3)&lt;&gt;"ｱﾙﾐ","長期防錆スプレー")</f>
        <v>長期防錆スプレー</v>
      </c>
      <c r="H602" s="38" t="str" cm="1">
        <f t="array" ref="H602">_xlfn.IFS(OR(D583=0,D587="　",MID(D588,1,3)="ｱﾙﾐ",1*MID(D590,1,2)=1,1*MID(D590,1,2)&gt;=5),"",MID(D588,1,3)&lt;&gt;"ｱﾙﾐ","防錆オイル")</f>
        <v>防錆オイル</v>
      </c>
      <c r="I602" s="52" t="str" cm="1">
        <f t="array" ref="I602">_xlfn.IFS(OR(D583=0,D587="　",MID(D588,1,3)="ｱﾙﾐ",1*MID(D590,1,2)=1,1*MID(D590,1,2)&gt;=5),"",MID(D588,1,3)&lt;&gt;"ｱﾙﾐ","n=0.01×(PC鋼より線本数+"&amp;IF(MID(D587,4,1)="5","6","12")&amp;")")</f>
        <v>n=0.01×(PC鋼より線本数+6)</v>
      </c>
      <c r="J602" s="16" t="str" cm="1">
        <f t="array" ref="J602">_xlfn.IFS(OR(D583=0,D587="　",MID(D588,1,3)="ｱﾙﾐ",1*MID(D590,1,2)=1,1*MID(D590,1,2)&gt;=5),"",MID(D588,1,3)&lt;&gt;"ｱﾙﾐ","缶")</f>
        <v>缶</v>
      </c>
      <c r="K602" s="77" cm="1">
        <f t="array" ref="K602">_xlfn.IFS(OR(D583=0,D587="　",MID(D588,1,3)="ｱﾙﾐ",1*MID(D590,1,2)=1,1*MID(D590,1,2)&gt;=5),"",MID(D588,1,3)&lt;&gt;"ｱﾙﾐ",0.01*(IF(MID(D587,4,1)="5",6,12)+MID(LEFT(D587,LEN(D587)-1),6,2)))</f>
        <v>0.09</v>
      </c>
      <c r="L602" s="78">
        <f>IFERROR(D586*K602,"")</f>
        <v>0.89999999999999991</v>
      </c>
    </row>
    <row r="603" spans="2:12" ht="11.1" customHeight="1">
      <c r="F603" s="24">
        <v>21</v>
      </c>
      <c r="G603" s="17" t="str">
        <f>IF(OR(D583=0,D587="　",1*MID(D590,1,2)&lt;=1,1*MID(D590,1,2)=3,,1*MID(D590,1,2)=6),"","ﾌﾘｰﾊﾟｯｶｰ注入ﾎｰｽ")</f>
        <v/>
      </c>
      <c r="H603" s="29" t="str">
        <f>IF(OR(D583=0,D587="　",1*MID(D590,1,2)&lt;=1,1*MID(D590,1,2)=3,,1*MID(D590,1,2)=6),"","φ16/20、ポリエチレン")</f>
        <v/>
      </c>
      <c r="I603" s="29" t="str">
        <f>IF(OR(D583=0,D587="　",1*MID(D590,1,2)&lt;=1,1*MID(D590,1,2)=3,,1*MID(D590,1,2)=6),"","L=自由長+緊張部長")</f>
        <v/>
      </c>
      <c r="J603" s="16" t="str">
        <f>IF(OR(D583=0,D587="　",1*MID(D590,1,2)&lt;=1,1*MID(D590,1,2)=3,,1*MID(D590,1,2)=6),"","m")</f>
        <v/>
      </c>
      <c r="K603" s="30" t="str">
        <f>IF(OR(D583=0,D587="　",1*MID(D590,1,2)&lt;=1,1*MID(D590,1,2)=3,,1*MID(D590,1,2)=6),"",D597+D598)</f>
        <v/>
      </c>
      <c r="L603" s="67" t="str">
        <f>IFERROR(D586*K603,"")</f>
        <v/>
      </c>
    </row>
    <row r="604" spans="2:12" ht="11.1" customHeight="1">
      <c r="F604" s="24">
        <v>22</v>
      </c>
      <c r="G604" s="17" t="str">
        <f>IF(OR(D583=0,D587="　",1*MID(D590,1,2)&lt;=1,1*MID(D590,1,2)=3,,1*MID(D590,1,2)=6),"","フリーパッカー")</f>
        <v/>
      </c>
      <c r="H604" s="52" t="str" cm="1">
        <f t="array" ref="H604">IF(OR(D583=0,D587="　",1*MID(D590,1,2)&lt;=1,1*MID(D590,1,2)=3,1*MID(D590,1,2)=6),"",_xlfn.SWITCH(D594,90,"PA-170",115,"PA-200",135,"PA-240",146,"PA-290",165,"PA-350",216,"PA-420")&amp;"、織布")</f>
        <v/>
      </c>
      <c r="I604" s="52" t="str">
        <f>IF(OR(D583=0,D587="　",1*MID(D590,1,2)&lt;=1,1*MID(D590,1,2)=3,1*MID(D590,1,2)=6),"","L=自由長+0.5")</f>
        <v/>
      </c>
      <c r="J604" s="16" t="str">
        <f>IF(OR(D583=0,D587="　",1*MID(D590,1,2)&lt;=1,1*MID(D590,1,2)=3,,1*MID(D590,1,2)=6),"","m")</f>
        <v/>
      </c>
      <c r="K604" s="30" t="str">
        <f>IF(OR(D583=0,D587="　",1*MID(D590,1,2)&lt;=1,1*MID(D590,1,2)=3,,1*MID(D590,1,2)=6),"",D597+0.5)</f>
        <v/>
      </c>
      <c r="L604" s="69" t="str">
        <f>IFERROR(D586*K604,"")</f>
        <v/>
      </c>
    </row>
    <row r="605" spans="2:12" ht="11.1" customHeight="1">
      <c r="F605" s="24">
        <v>23</v>
      </c>
      <c r="G605" s="17" t="str">
        <f>IF(OR(D583=0,D587="　",1*MID(D590,1,2)&lt;=1,1*MID(D590,1,2)=3,,1*MID(D590,1,2)=6),"","ﾌﾘｰﾊﾟｯｶｰ取付加工")</f>
        <v/>
      </c>
      <c r="H605" s="29" t="str">
        <f>IF(OR(D583=0,D587="　",1*MID(D590,1,2)&lt;=1,1*MID(D590,1,2)=3,,1*MID(D590,1,2)=6),"","材工")</f>
        <v/>
      </c>
      <c r="I605" s="29" t="str">
        <f>IF(OR(D583=0,D587="　",1*MID(D590,1,2)&lt;=1,1*MID(D590,1,2)=3,,1*MID(D590,1,2)=6),"","n=1")</f>
        <v/>
      </c>
      <c r="J605" s="16" t="str">
        <f>IF(OR(D583=0,D587="　",1*MID(D590,1,2)&lt;=1,1*MID(D590,1,2)=3,,1*MID(D590,1,2)=6),"","式")</f>
        <v/>
      </c>
      <c r="K605" s="32" t="str">
        <f>IF(OR(D583=0,D587="　",1*MID(D590,1,2)&lt;=1,1*MID(D590,1,2)=3,,1*MID(D590,1,2)=6),"",1)</f>
        <v/>
      </c>
      <c r="L605" s="70" t="str">
        <f>IFERROR(D586*K605,"")</f>
        <v/>
      </c>
    </row>
    <row r="606" spans="2:12" ht="11.1" customHeight="1">
      <c r="F606" s="24">
        <v>24</v>
      </c>
      <c r="G606" s="17" t="str">
        <f>IF(OR(D583=0,D587="　",1*MID(D590,1,2)&lt;=2,1*MID(D590,1,2)=5),"","フリクションパッカー")</f>
        <v/>
      </c>
      <c r="H606" s="38" t="str" cm="1">
        <f t="array" ref="H606">IF(OR(D583=0,D587="　",1*MID(D590,1,2)&lt;=2,1*MID(D590,1,2)=5),"",_xlfn.SWITCH(D594,90,"FP125",115,"FP125",135,"FP150",146,"FP175",165,"FP200",216,"FP235")&amp;"、パイレン布")</f>
        <v/>
      </c>
      <c r="I606" s="38" t="str">
        <f>IF(OR(D583=0,D587="　",1*MID(D590,1,2)&lt;=2,1*MID(D590,1,2)=5),"","L=アンカー体長+0.5")</f>
        <v/>
      </c>
      <c r="J606" s="16" t="str">
        <f>IF(OR(D583=0,D587="　",1*MID(D590,1,2)&lt;=2,1*MID(D590,1,2)=5),"","m")</f>
        <v/>
      </c>
      <c r="K606" s="30" t="str">
        <f>IF(OR(D583=0,D587="　",1*MID(D590,1,2)&lt;=2,1*MID(D590,1,2)=5),"",D593+0.5)</f>
        <v/>
      </c>
      <c r="L606" s="68" t="str">
        <f>IFERROR(D586*K606,"")</f>
        <v/>
      </c>
    </row>
    <row r="607" spans="2:12" ht="11.1" customHeight="1">
      <c r="F607" s="24">
        <v>25</v>
      </c>
      <c r="G607" s="17" t="str">
        <f>IF(OR(D583=0,D587="　",1*MID(D590,1,2)&lt;=2,1*MID(D590,1,2)=5),"","ﾌﾘｸｼｮﾝﾊﾟｯｶｰ取付加工")</f>
        <v/>
      </c>
      <c r="H607" s="29" t="str">
        <f>IF(OR(D583=0,D587="　",1*MID(D590,1,2)&lt;=2,1*MID(D590,1,2)=5),"","材工")</f>
        <v/>
      </c>
      <c r="I607" s="29" t="str">
        <f>IF(OR(D583=0,D587="　",1*MID(D590,1,2)&lt;=2,1*MID(D590,1,2)=5),"","n=1")</f>
        <v/>
      </c>
      <c r="J607" s="16" t="str">
        <f>IF(OR(D583=0,D587="　",1*MID(D590,1,2)&lt;=2,1*MID(D590,1,2)=5),"","式")</f>
        <v/>
      </c>
      <c r="K607" s="32" t="str">
        <f>IF(OR(D583=0,D587="　",1*MID(D590,1,2)&lt;=2,1*MID(D590,1,2)=5),"",1)</f>
        <v/>
      </c>
      <c r="L607" s="70" t="str">
        <f>IFERROR(D586*K607,"")</f>
        <v/>
      </c>
    </row>
    <row r="608" spans="2:12" ht="11.1" customHeight="1">
      <c r="F608" s="24">
        <v>26</v>
      </c>
      <c r="G608" s="17" t="str">
        <f>IF(OR(D583=0,D587="　",1*MID(D590,1,2)=0,1*MID(D590,1,2)=2,1*MID(D590,1,2)=3,1*MID(D590,1,2)=4),"","試験ﾊﾟｯｶｰ水注入ﾎｰｽ")</f>
        <v/>
      </c>
      <c r="H608" s="38" t="str">
        <f>IF(OR(D583=0,D587="　",1*MID(D590,1,2)=0,1*MID(D590,1,2)=2,1*MID(D590,1,2)=3,1*MID(D590,1,2)=4),"","φ4/6、ナイロン")</f>
        <v/>
      </c>
      <c r="I608" s="38" t="str">
        <f>IF(OR(D583=0,D587="　",1*MID(D590,1,2)=0,1*MID(D590,1,2)=2,1*MID(D590,1,2)=3,1*MID(D590,1,2)=4),"","L=自由長+緊張部長")</f>
        <v/>
      </c>
      <c r="J608" s="79" t="str">
        <f>IF(OR(D583=0,D587="　",1*MID(D590,1,2)=0,1*MID(D590,1,2)=2,1*MID(D590,1,2)=3,1*MID(D590,1,2)=4),"","m")</f>
        <v/>
      </c>
      <c r="K608" s="80" t="str">
        <f>IF(OR(D583=0,D587="　",1*MID(D590,1,2)=0,1*MID(D590,1,2)=2,1*MID(D590,1,2)=3,1*MID(D590,1,2)=4),"",D597+D598)</f>
        <v/>
      </c>
      <c r="L608" s="81" t="str">
        <f>IFERROR(D586*K608,"")</f>
        <v/>
      </c>
    </row>
    <row r="609" spans="2:12" ht="11.1" customHeight="1">
      <c r="F609" s="24">
        <v>27</v>
      </c>
      <c r="G609" s="17" t="str">
        <f>IF(OR(D583=0,D587="　",1*MID(D590,1,2)=0,1*MID(D590,1,2)=2,1*MID(D590,1,2)=3,1*MID(D590,1,2)=4),"","引抜試験パッカー")</f>
        <v/>
      </c>
      <c r="H609" s="38" t="str" cm="1">
        <f t="array" ref="H609">IF(OR(D583=0,D587="　",1*MID(D590,1,2)=0,1*MID(D590,1,2)=2,1*MID(D590,1,2)=3,1*MID(D590,1,2)=4),"",_xlfn.SWITCH(D594,90,"PU90",115,"PU115",135,"PU135",146,"PU146",165,"PU165")&amp;"、3層構造(鋼管･ゴム･布)")</f>
        <v/>
      </c>
      <c r="I609" s="38" t="str">
        <f>IF(OR(D583=0,D587="　",1*MID(D590,1,2)=0,1*MID(D590,1,2)=2,1*MID(D590,1,2)=3,1*MID(D590,1,2)=4),"","n=1")</f>
        <v/>
      </c>
      <c r="J609" s="79" t="str">
        <f>IF(OR(D583=0,D587="　",1*MID(D590,1,2)=0,1*MID(D590,1,2)=2,1*MID(D590,1,2)=3,1*MID(D590,1,2)=4),"","式")</f>
        <v/>
      </c>
      <c r="K609" s="32" t="str" cm="1">
        <f t="array" ref="K609">IF(OR(D583=0,D587="　",1*MID(D590,1,2)=0,1*MID(D590,1,2)=2,1*MID(D590,1,2)=3,1*MID(D590,1,2)=4),"",_xlfn.IFS(OR(1*MID(D590,1,2)=1,1*MID(D590,1,2)&gt;=5),1))</f>
        <v/>
      </c>
      <c r="L609" s="68" t="str">
        <f>IFERROR(D586*K609,"")</f>
        <v/>
      </c>
    </row>
    <row r="610" spans="2:12" ht="11.1" customHeight="1">
      <c r="F610" s="24">
        <v>28</v>
      </c>
      <c r="G610" s="17" t="str">
        <f>IF(OR(D583=0,D587="　",1*MID(D590,1,2)=0,1*MID(D590,1,2)=2,1*MID(D590,1,2)=3,1*MID(D590,1,2)=4),"","引抜試験パッカー取付加工")</f>
        <v/>
      </c>
      <c r="H610" s="38" t="str">
        <f>IF(OR(D583=0,D587="　",1*MID(D590,1,2)=0,1*MID(D590,1,2)=2,1*MID(D590,1,2)=3,1*MID(D590,1,2)=4),"","材工")</f>
        <v/>
      </c>
      <c r="I610" s="38" t="str">
        <f>IF(OR(D583=0,D587="　",1*MID(D590,1,2)=0,1*MID(D590,1,2)=2,1*MID(D590,1,2)=3,1*MID(D590,1,2)=4),"","n=1")</f>
        <v/>
      </c>
      <c r="J610" s="79" t="str" cm="1">
        <f t="array" ref="J610">IF(OR(D583=0,D587="　",1*MID(D590,1,2)=0,1*MID(D590,1,2)=2,1*MID(D590,1,2)=3,1*MID(D590,1,2)=4),"",_xlfn.IFS(OR(1*MID(D590,1,2)=1,1*MID(D590,1,2)&gt;=5),"式"))</f>
        <v/>
      </c>
      <c r="K610" s="32" t="str" cm="1">
        <f t="array" ref="K610">IF(OR(D583=0,D587="　",1*MID(D590,1,2)=0,1*MID(D590,1,2)=2,1*MID(D590,1,2)=3,1*MID(D590,1,2)=4),"",_xlfn.IFS(OR(1*MID(D590,1,2)=1,1*MID(D590,1,2)&gt;=5),1))</f>
        <v/>
      </c>
      <c r="L610" s="68" t="str">
        <f>IFERROR(D586*K610,"")</f>
        <v/>
      </c>
    </row>
    <row r="611" spans="2:12" ht="11.1" customHeight="1">
      <c r="F611" s="24">
        <v>29</v>
      </c>
      <c r="G611" s="17" t="str">
        <f>IF(OR(D583=0,D587="　",1*MID(D590,1,2)=0,1*MID(D590,1,2)=2,1*MID(D590,1,2)=3,1*MID(D590,1,2)=4),"","自由長洗浄ﾎｰｽ")</f>
        <v/>
      </c>
      <c r="H611" s="38" t="str">
        <f>IF(OR(D583=0,D587="　",1*MID(D590,1,2)=0,1*MID(D590,1,2)=2,1*MID(D590,1,2)=3,1*MID(D590,1,2)=4),"","φ16/20、ポリエチレン")</f>
        <v/>
      </c>
      <c r="I611" s="38" t="str">
        <f>IF(OR(D583=0,D587="　",1*MID(D590,1,2)=0,1*MID(D590,1,2)=2,1*MID(D590,1,2)=3,1*MID(D590,1,2)=4),"","L=自由長+0.5")</f>
        <v/>
      </c>
      <c r="J611" s="79" t="str">
        <f>IF(OR(D583=0,D587="　",1*MID(D590,1,2)=0,1*MID(D590,1,2)=2,1*MID(D590,1,2)=3,1*MID(D590,1,2)=4),"","m")</f>
        <v/>
      </c>
      <c r="K611" s="32" t="str">
        <f>IF(OR(D583=0,D587="　",1*MID(D590,1,2)=0,1*MID(D590,1,2)=2,1*MID(D590,1,2)=3,1*MID(D590,1,2)=4),"",D597+0.5)</f>
        <v/>
      </c>
      <c r="L611" s="81" t="str">
        <f>IFERROR(D586*K611,"")</f>
        <v/>
      </c>
    </row>
    <row r="612" spans="2:12" ht="11.1" customHeight="1">
      <c r="D612" s="1" t="s">
        <v>9</v>
      </c>
      <c r="F612" s="56">
        <v>30</v>
      </c>
      <c r="G612" s="82" t="str">
        <f>IF(OR(D583=0,D587="　",1*MID(D590,1,2)&lt;=2,1*MID(D590,1,2)=5,MID(D612,6,2)&lt;&gt;"あり"),"","確認ホース")</f>
        <v/>
      </c>
      <c r="H612" s="83" t="str">
        <f>IF(OR(D583=0,D587="　",1*MID(D590,1,2)&lt;=2,1*MID(D590,1,2)=5,MID(D612,6,2)&lt;&gt;"あり"),"","φ17、ポリエチレン")</f>
        <v/>
      </c>
      <c r="I612" s="83"/>
      <c r="J612" s="84" t="str">
        <f>IF(OR(D583=0,D587="　",1*MID(D590,1,2)&lt;=2,1*MID(D590,1,2)=5,MID(D612,6,2)&lt;&gt;"あり"),"","m")</f>
        <v/>
      </c>
      <c r="K612" s="85" t="str">
        <f>IF(OR(D582=0,D587="　",1*MID(D590,1,2)&lt;=2,1*MID(D590,1,2)=5,MID(D612,6,2)&lt;&gt;"あり"),"",0.5+MROUND(D597+D599,0.1))</f>
        <v/>
      </c>
      <c r="L612" s="86" t="str">
        <f>IFERROR(D586*K612,"")</f>
        <v/>
      </c>
    </row>
    <row r="614" spans="2:12" ht="11.1" customHeight="1">
      <c r="B614" s="19" t="s">
        <v>1</v>
      </c>
      <c r="D614" s="4"/>
      <c r="G614" s="73" t="s">
        <v>39</v>
      </c>
    </row>
    <row r="615" spans="2:12" ht="11.1" customHeight="1">
      <c r="G615" s="99">
        <f>D616</f>
        <v>19</v>
      </c>
      <c r="H615" s="55" t="str">
        <f>IF(D617=0,"",D618&amp;" "&amp;D621&amp; "："&amp;TEXT(D634,"L=##0.00")&amp;"m"&amp;TEXT(D632,",L1=##0.00")&amp;"m"&amp;TEXT(D631,",Lf=##0.00")&amp;"m"&amp;TEXT(D627,",LA=##0.00")&amp;"m"&amp;TEXT(D633,",L2=##0.00")&amp;"m")</f>
        <v>(19)1段/2段 EHD5-3H：L=17.20m,L1=1.00m,Lf=9.00m,LA=7.00m,L2=0.20m</v>
      </c>
      <c r="I615" s="55"/>
      <c r="J615" s="18"/>
    </row>
    <row r="616" spans="2:12" ht="11.1" customHeight="1">
      <c r="B616" s="13" t="s">
        <v>2</v>
      </c>
      <c r="C616" s="3" t="s">
        <v>3</v>
      </c>
      <c r="D616" s="98">
        <f>1+(ROW()-ROW($D$4))/34</f>
        <v>19</v>
      </c>
      <c r="F616" s="20"/>
      <c r="G616" s="21" t="s">
        <v>21</v>
      </c>
      <c r="H616" s="22" t="s">
        <v>22</v>
      </c>
      <c r="I616" s="22" t="s">
        <v>38</v>
      </c>
      <c r="J616" s="23" t="s">
        <v>23</v>
      </c>
      <c r="K616" s="22" t="s">
        <v>24</v>
      </c>
      <c r="L616" s="3" t="s">
        <v>4</v>
      </c>
    </row>
    <row r="617" spans="2:12" ht="11.1" customHeight="1">
      <c r="B617" s="28" t="s">
        <v>25</v>
      </c>
      <c r="C617" s="5" t="s">
        <v>26</v>
      </c>
      <c r="D617" s="6">
        <v>1</v>
      </c>
      <c r="F617" s="24">
        <v>1</v>
      </c>
      <c r="G617" s="25" t="str">
        <f>IF(OR(D617=0,D621="　"),"","硅砂付着ECFﾃﾝﾄﾞﾝ")</f>
        <v>硅砂付着ECFﾃﾝﾄﾞﾝ</v>
      </c>
      <c r="H617" s="26" t="str">
        <f>IF(OR(D617=0,D621="　"),"",D621&amp;" ("&amp;MID(D621,6,FIND("H",D621,6)-6)&amp;IF(MID(D621,4,1)="5","φ12.7","φ15.2")&amp;")")</f>
        <v>EHD5-3H (3φ12.7)</v>
      </c>
      <c r="I617" s="57" t="str">
        <f>IF(OR(D617=0,D621="　"),"","W=テンドン長×PC鋼より線本数×"&amp;IF(MID(D621,4,1)="5","0.774","1.101")&amp;"kg/m")</f>
        <v>W=テンドン長×PC鋼より線本数×0.774kg/m</v>
      </c>
      <c r="J617" s="14" t="str">
        <f>IF(OR(D617=0,D621="　"),"","kg")</f>
        <v>kg</v>
      </c>
      <c r="K617" s="27">
        <f>IF(OR(D617=0,D621="　"),"",MROUND(D634*MID(D621,6,FIND("H",D621,6)-6)*IF(MID(D621,4,1)="5","0.774","1.101"),0.01))</f>
        <v>39.94</v>
      </c>
      <c r="L617" s="15">
        <f>IFERROR(D620*K617,"")</f>
        <v>399.4</v>
      </c>
    </row>
    <row r="618" spans="2:12" ht="11.1" customHeight="1">
      <c r="B618" s="31" t="s">
        <v>45</v>
      </c>
      <c r="C618" s="71" t="s">
        <v>6</v>
      </c>
      <c r="D618" s="74" t="s">
        <v>105</v>
      </c>
      <c r="F618" s="24">
        <v>2</v>
      </c>
      <c r="G618" s="17" t="str">
        <f>IF(OR(D617=0,D621="　"),"","アンカー工場加工")</f>
        <v>アンカー工場加工</v>
      </c>
      <c r="H618" s="29"/>
      <c r="I618" s="46" t="str">
        <f>IF(OR(D617=0,D621="　"),"","L=テンドン長")</f>
        <v>L=テンドン長</v>
      </c>
      <c r="J618" s="16" t="str">
        <f>IF(OR(D617=0,D621="　"),"","m")</f>
        <v>m</v>
      </c>
      <c r="K618" s="30">
        <f>IF(OR(D617=0,D621="　"),"",MROUND(D634,0.1))</f>
        <v>17.2</v>
      </c>
      <c r="L618" s="67">
        <f>IFERROR(D620*K618,"")</f>
        <v>172</v>
      </c>
    </row>
    <row r="619" spans="2:12" ht="11.1" customHeight="1">
      <c r="B619" s="34" t="s">
        <v>7</v>
      </c>
      <c r="C619" s="49" t="s">
        <v>6</v>
      </c>
      <c r="D619" s="2" t="s">
        <v>34</v>
      </c>
      <c r="F619" s="24">
        <v>3</v>
      </c>
      <c r="G619" s="17" t="str">
        <f>IF(OR(D617=0,D621="　",1*MID(D624,1,2)=1,1*MID(D624,1,2)&gt;=5),"","頭部キャップ")</f>
        <v>頭部キャップ</v>
      </c>
      <c r="H619" s="29" t="str" cm="1">
        <f t="array" ref="H619">IF(OR(D617=0,D621="　",1*MID(D624,1,2)=1,1*MID(D624,1,2)&gt;=5),"",IF(MID(D621,4,1)="5",_xlfn.SWITCH(1*MID(D621,6,FIND("H",D621,6)-6),1,"S",2,"S",3,"S",4,"S",5,"M",6,"M",7,"M",8,"L",9,"L",10,"L",11,"L",12,"L"),_xlfn.SWITCH(1*MID(D621,6,FIND("H",D621,6)-6),1,"S",2,"S",3,"M",4,"M",5,"L",6,"L",7,"L",8,"LL",9,"LL",10,"LL",11,"LL",12,"LL",13,"LL",14,"LL",15,"3L",16,"3L",17,"3L",18,"3L",19,"3L"))&amp;"型"&amp;MID(D622,IF(MID(D622,1,1)="G",4,1),10)&amp;IF(OR(MID(D622,1,2)="透明",MID(D622,1,2)="5窓"),"、PC樹脂","")&amp;IF(MID(D622,4,2)="鋼製","、SS400相当、HDZT77めっき","、ｱﾙﾐAC4C相当"))&amp;_xlfn.IFS(OR(D617=0,D621="　",MID(D619,1,3)="防食Ⅱ"),"",MID(D619,5,2)="塩害","、ﾀｹｺｰﾄ処理",MID(D619,5,2)="酸性","、重防食処理")</f>
        <v>S型透明ｷｬｯﾌﾟ、PC樹脂、ｱﾙﾐAC4C相当</v>
      </c>
      <c r="I619" s="52" t="str">
        <f>IF(OR(D617=0,D621="　",1*MID(D624,1,2)=1,1*MID(D624,1,2)&gt;=5),"","n=1")</f>
        <v>n=1</v>
      </c>
      <c r="J619" s="16" t="str">
        <f>IF(OR(D617=0,D621="　",1*MID(D624,1,2)=1,1*MID(D624,1,2)&gt;=5),"","個")</f>
        <v>個</v>
      </c>
      <c r="K619" s="32">
        <f>IF(OR(D617=0,D621="　",1*MID(D624,1,2)=1,1*MID(D624,1,2)&gt;=5),"",1)</f>
        <v>1</v>
      </c>
      <c r="L619" s="68">
        <f>IFERROR(D620*K619,"")</f>
        <v>10</v>
      </c>
    </row>
    <row r="620" spans="2:12" ht="11.1" customHeight="1">
      <c r="B620" s="31" t="s">
        <v>27</v>
      </c>
      <c r="C620" s="10" t="s">
        <v>5</v>
      </c>
      <c r="D620" s="75">
        <v>10</v>
      </c>
      <c r="F620" s="24">
        <v>4</v>
      </c>
      <c r="G620" s="17" t="str">
        <f>IF(OR(D617=0,D621="　",1*MID(D624,1,2)=1,1*MID(D624,1,2)&gt;=5),"","アンカーヘッド")</f>
        <v>アンカーヘッド</v>
      </c>
      <c r="H620" s="29" t="str" cm="1">
        <f t="array" ref="H620">IF(OR(D617=0,D621="　",1*MID(D624,1,2)=1,1*MID(D624,1,2)&gt;=5),"",IF(MID(D621,4,1)="5","G5"&amp;_xlfn.SWITCH(1*MID(D621,6,FIND("H",D621,6)-6),1,"01",2,"02",3,"03",4,"04",5,"07",6,"07",7,"07",8,"09",9,"09",10,"12",11,"12",12,"12"),"G6"&amp;_xlfn.SWITCH(1*MID(D621,6,FIND("H",D621,6)-6),1,"01",2,"02",3,"03",4,"04",5,"07",6,"07",7,"07",8,"09",9,"09",10,"12",11,"12",12,"12",13,"14",14,"14",15,"19",16,"19",17,"19",18,"19",19,"19"))&amp;"、S45C相当")&amp;IF(OR(D617=0,D621="　",MID(D622,1,3)="ｱﾙﾐ",1*MID(D624,1,2)=1,1*MID(D624,1,2)&gt;=5),"","、無電解Niめっき")</f>
        <v>G503、S45C相当、無電解Niめっき</v>
      </c>
      <c r="I620" s="52" t="str">
        <f>IF(OR(D617=0,D621="　",1*MID(D624,1,2)=1,1*MID(D624,1,2)&gt;=5),"","n=1")</f>
        <v>n=1</v>
      </c>
      <c r="J620" s="16" t="str">
        <f>IF(OR(D617=0,D621="　",1*MID(D624,1,2)=1,1*MID(D624,1,2)&gt;=5),"","個")</f>
        <v>個</v>
      </c>
      <c r="K620" s="32">
        <f>IF(OR(D617=0,D621="　",1*MID(D624,1,2)=1,1*MID(D624,1,2)&gt;=5),"",1)</f>
        <v>1</v>
      </c>
      <c r="L620" s="68">
        <f>IFERROR(D620*K620,"")</f>
        <v>10</v>
      </c>
    </row>
    <row r="621" spans="2:12" ht="11.1" customHeight="1">
      <c r="B621" s="33" t="s">
        <v>28</v>
      </c>
      <c r="C621" s="71" t="s">
        <v>6</v>
      </c>
      <c r="D621" s="7" t="s">
        <v>0</v>
      </c>
      <c r="F621" s="24">
        <v>5</v>
      </c>
      <c r="G621" s="17" t="str">
        <f>IF(OR(D617=0,D621="　",1*MID(D624,1,2)=1,1*MID(D624,1,2)&gt;=5),"","ナット")</f>
        <v>ナット</v>
      </c>
      <c r="H621" s="29" t="str" cm="1">
        <f t="array" ref="H621">IF(OR(D617=0,D621="　",1*MID(D624,1,2)=1,1*MID(D624,1,2)&gt;=5),"",IF(MID(D621,4,1)="5","G5"&amp;_xlfn.SWITCH(1*MID(D621,6,FIND("H",D621,6)-6),1,"01",2,"02",3,"03",4,"04",5,"07",6,"07",7,"07",8,"09",9,"09",10,"12",11,"12",12,"12"),"G6"&amp;_xlfn.SWITCH(1*MID(D621,6,FIND("H",D621,6)-6),1,"01",2,"02",3,"03",4,"04",5,"07",6,"07",7,"07",8,"09",9,"09",10,"12",11,"12",12,"12",13,"14",14,"14",15,"19",16,"19",17,"19",18,"19",19,"19"))&amp;"、S45C相当")&amp;IF(OR(D617=0,D621="　",MID(D622,1,3)="ｱﾙﾐ",1*MID(D624,1,2)=1,1*MID(D624,1,2)&gt;=5),"","、無電解Niめっき")</f>
        <v>G503、S45C相当、無電解Niめっき</v>
      </c>
      <c r="I621" s="52" t="str">
        <f>IF(OR(D617=0,D621="　",1*MID(D624,1,2)=1,1*MID(D624,1,2)&gt;=5),"","n=1")</f>
        <v>n=1</v>
      </c>
      <c r="J621" s="16" t="str">
        <f>IF(OR(D617=0,D621="　",1*MID(D624,1,2)=1,1*MID(D624,1,2)&gt;=5),"","個")</f>
        <v>個</v>
      </c>
      <c r="K621" s="32">
        <f>IF(OR(D617=0,D621="　",1*MID(D624,1,2)=1,1*MID(D624,1,2)&gt;=5),"",1)</f>
        <v>1</v>
      </c>
      <c r="L621" s="68">
        <f>IFERROR(D620*K621,"")</f>
        <v>10</v>
      </c>
    </row>
    <row r="622" spans="2:12" ht="11.1" customHeight="1">
      <c r="B622" s="35" t="s">
        <v>29</v>
      </c>
      <c r="C622" s="49" t="s">
        <v>6</v>
      </c>
      <c r="D622" s="2" t="s">
        <v>35</v>
      </c>
      <c r="F622" s="24">
        <v>6</v>
      </c>
      <c r="G622" s="17" t="str">
        <f>IF(OR(D617=0,D621="　",1*MID(D624,1,2)=1,1*MID(D624,1,2)&gt;=5),"","くさび")</f>
        <v>くさび</v>
      </c>
      <c r="H622" s="29" t="str">
        <f>IF(OR(D617=0,D621="　",1*MID(D624,1,2)=1,1*MID(D624,1,2)&gt;=5),"",IF(1*MID(D621,4,1)=5,"ECF12.7","ECF15.2")&amp;"、SCM415相当")&amp;IF(OR(D617=0,D621="　",MID(D622,1,3)="ｱﾙﾐ",1*MID(D624,1,2)=1,1*MID(D624,1,2)&gt;=5),"","、無電解Niめっき")</f>
        <v>ECF12.7、SCM415相当、無電解Niめっき</v>
      </c>
      <c r="I622" s="52" t="str">
        <f>IF(OR(D617=0,D621="　",1*MID(D624,1,2)=1,1*MID(D624,1,2)&gt;=5),"","n=1")</f>
        <v>n=1</v>
      </c>
      <c r="J622" s="16" t="str">
        <f>IF(OR(D617=0,D621="　",1*MID(D624,1,2)=1,1*MID(D624,1,2)&gt;=5),"","式")</f>
        <v>式</v>
      </c>
      <c r="K622" s="32">
        <f>IF(OR(D617=0,D621="　",1*MID(D624,1,2)=1,1*MID(D624,1,2)&gt;=5),"",1)</f>
        <v>1</v>
      </c>
      <c r="L622" s="68">
        <f>IFERROR(D620*K622,"")</f>
        <v>10</v>
      </c>
    </row>
    <row r="623" spans="2:12" ht="11.1" customHeight="1">
      <c r="B623" s="35" t="s">
        <v>8</v>
      </c>
      <c r="C623" s="49" t="s">
        <v>6</v>
      </c>
      <c r="D623" s="2" t="s">
        <v>36</v>
      </c>
      <c r="F623" s="24">
        <v>7</v>
      </c>
      <c r="G623" s="17" t="str">
        <f>IF(OR(D617=0,D621="　",1*MID(D624,1,2)=1,1*MID(D624,1,2)&gt;=5),"","押え板")</f>
        <v>押え板</v>
      </c>
      <c r="H623" s="29" t="str" cm="1">
        <f t="array" ref="H623">IF(OR(D617=0,D621="　",1*MID(D624,1,2)=1,1*MID(D624,1,2)&gt;=5),"",IF(MID(D621,4,1)="5","G5"&amp;_xlfn.SWITCH(1*MID(D621,6,FIND("H",D621,6)-6),1,"01",2,"04",3,"03",4,"04",5,"07",6,"07",7,"07",8,"12",9,"12",10,"12",11,"12",12,"12"),"G6"&amp;_xlfn.SWITCH(1*MID(D621,6,FIND("H",D621,6)-6),1,"01",2,"02",3,"03",4,"04",5,"07",6,"07",7,"07",8,"12",9,"12",10,"12",11,"12",12,"12",13,"14",14,"14",15,"19",16,"19",17,"19",18,"19",19,"19"))&amp;"、SS400相当")&amp;IF(OR(D617=0,D621="　",1*MID(D624,1,2)=1,1*MID(D624,1,2)&gt;=5),"","、"&amp;_xlfn.IFS(MID(D619,1,3)="防食Ⅱ","HDZT77めっき",MID(D619,5,2)="塩害","ｱﾙﾐﾅｲｽﾞ処理",MID(D619,5,2)="酸性","重防食処理"))</f>
        <v>G503、SS400相当、HDZT77めっき</v>
      </c>
      <c r="I623" s="52" t="str">
        <f>IF(OR(D617=0,D621="　",1*MID(D624,1,2)=1,1*MID(D624,1,2)&gt;=5),"","n=1")</f>
        <v>n=1</v>
      </c>
      <c r="J623" s="16" t="str">
        <f>IF(OR(D617=0,D621="　",1*MID(D624,1,2)=1,1*MID(D624,1,2)&gt;=5),"","枚")</f>
        <v>枚</v>
      </c>
      <c r="K623" s="32">
        <f>IF(OR(D617=0,D621="　",1*MID(D624,1,2)=1,1*MID(D624,1,2)&gt;=5),"",1)</f>
        <v>1</v>
      </c>
      <c r="L623" s="68">
        <f>IFERROR(D620*K623,"")</f>
        <v>10</v>
      </c>
    </row>
    <row r="624" spans="2:12" ht="11.1" customHeight="1">
      <c r="B624" s="36" t="s">
        <v>87</v>
      </c>
      <c r="C624" s="72" t="s">
        <v>6</v>
      </c>
      <c r="D624" s="8" t="s">
        <v>42</v>
      </c>
      <c r="F624" s="24">
        <v>8</v>
      </c>
      <c r="G624" s="17" t="str">
        <f>IF(OR(D617=0,D621="　"),"",IF(OR(1*MID(D624,1,2)=1,1*MID(D624,1,2)&gt;=5,MID(D623,1,3)&lt;&gt;"のり面"),"","管付")&amp;"支圧板")</f>
        <v>管付支圧板</v>
      </c>
      <c r="H624" s="29" t="str" cm="1">
        <f t="array" ref="H624">IF(OR(D617=0,D621="　"),"","PL"&amp;IF(OR(1*MID(D624,1,2)=1,1*MID(D624,1,2)&gt;=5,MID(D623,1,3)&lt;&gt;"のり面"),"","P")&amp;IF(MID(D621,4,1)="5","5-"&amp;_xlfn.SWITCH(1*MID(D621,6,FIND("H",D621,6)-6),1,"1",2,"2",3,"3",4,"4",5,"5",6,"6",7,"7",8,"9",9,"9",10,"10",11,"11",12,"12"),"6-"&amp;_xlfn.SWITCH(1*MID(D621,6,FIND("H",D621,6)-6),1,"1",2,"2",3,"3",4,"4",5,"6",6,"6",7,"7",8,"8",9,"9",10,"10",11,"11",12,"12",13,"14",14,"14",15,"16",16,"16",17,"17",18,"18",19,"19"))&amp;"、SS400相当")&amp;IF(OR(D617=0,D621="　"),"","、"&amp;_xlfn.IFS(MID(D619,1,3)="防食Ⅱ","HDZT77めっき",MID(D619,5,2)="塩害","ｱﾙﾐﾅｲｽﾞ処理",MID(D619,5,2)="酸性","重防食処理"))</f>
        <v>PLP5-3、SS400相当、HDZT77めっき</v>
      </c>
      <c r="I624" s="52" t="str">
        <f>IF(OR(D617=0,D621="　"),"","n=1")</f>
        <v>n=1</v>
      </c>
      <c r="J624" s="16" t="str">
        <f>IF(OR(D617=0,D621="　"),"","枚")</f>
        <v>枚</v>
      </c>
      <c r="K624" s="32">
        <f>IF(OR(D617=0,D621="　"),"",1)</f>
        <v>1</v>
      </c>
      <c r="L624" s="68">
        <f>IFERROR(D620*K624,"")</f>
        <v>10</v>
      </c>
    </row>
    <row r="625" spans="2:12" ht="11.1" customHeight="1">
      <c r="B625" s="37" t="str" cm="1">
        <f t="array" ref="B625">"頭部自由長"&amp;_xlfn.IFS(MID(D623,1,2)="なし","",MID(D623,1,3)="受圧体","(受圧体)",MID(D623,1,3)="のり面","(角度台座＋受圧体)",MID(D623,1,3)="構造物","(壁面台座)",MID(D623,1,3)="土留め","(台座+腹起し)",MID(D623,1,3)="個別台","(個別台座+腹起し)")&amp;"　Lfh"</f>
        <v>頭部自由長(角度台座＋受圧体)　Lfh</v>
      </c>
      <c r="C625" s="9" t="s">
        <v>10</v>
      </c>
      <c r="D625" s="75">
        <v>0.5</v>
      </c>
      <c r="F625" s="24">
        <v>9</v>
      </c>
      <c r="G625" s="17" t="str">
        <f>IF(OR(D617=0,D621="　",1*MID(D624,1,2)=1,1*MID(D624,1,2)&gt;=5),"","止水ゴム")</f>
        <v>止水ゴム</v>
      </c>
      <c r="H625" s="29" t="str">
        <f>IF(OR(D617=0,D621="　",1*MID(D624,1,2)=1,1*MID(D624,1,2)&gt;=5),"","G"&amp;MID(D621,4,4)&amp;"、NBR45相当")</f>
        <v>G5-3H、NBR45相当</v>
      </c>
      <c r="I625" s="52" t="str">
        <f>IF(OR(D617=0,D621="　",1*MID(D624,1,2)=1,1*MID(D624,1,2)&gt;=5),"","n=1")</f>
        <v>n=1</v>
      </c>
      <c r="J625" s="16" t="str">
        <f>IF(OR(D617=0,D621="　",1*MID(D624,1,2)=1,1*MID(D624,1,2)&gt;=5),"","個")</f>
        <v>個</v>
      </c>
      <c r="K625" s="32">
        <f>IF(OR(D617=0,D621="　",1*MID(D624,1,2)=1,1*MID(D624,1,2)&gt;=5),"",1)</f>
        <v>1</v>
      </c>
      <c r="L625" s="68">
        <f>IFERROR(D620*K625,"")</f>
        <v>10</v>
      </c>
    </row>
    <row r="626" spans="2:12" ht="11.1" customHeight="1">
      <c r="B626" s="31" t="s">
        <v>11</v>
      </c>
      <c r="C626" s="10" t="s">
        <v>10</v>
      </c>
      <c r="D626" s="75">
        <v>8.5</v>
      </c>
      <c r="F626" s="24">
        <v>10</v>
      </c>
      <c r="G626" s="17" t="str" cm="1">
        <f t="array" ref="G626">IF(OR(D617=0,D621="　",1*MID(D624,1,2)=1,1*MID(D624,1,2)&gt;=5),"",_xlfn.IFS(MID(D622,1,3)="ｱﾙﾐ","頭部防錆油",MID(D622,1,3)&lt;&gt;"ｱﾙﾐ","余長キャップ"))</f>
        <v>余長キャップ</v>
      </c>
      <c r="H626" s="29" t="str" cm="1">
        <f t="array" ref="H626">_xlfn.IFS(OR(D617=0,D621="　",1*MID(D624,1,2)=1,1*MID(D624,1,2)&gt;=5),"",MID(D622,1,3)="ｱﾙﾐ","PCコートC",MID(D622,1,3)&lt;&gt;"ｱﾙﾐ","TC"&amp;MID(D621,4,1)&amp;"、高密度ポリエチレン")</f>
        <v>TC5、高密度ポリエチレン</v>
      </c>
      <c r="I626" s="52" t="str" cm="1">
        <f t="array" ref="I626">_xlfn.IFS(OR(D617=0,D621="　",1*MID(D624,1,2)=1,1*MID(D624,1,2)&gt;=5),"",MID(D622,1,3)="ｱﾙﾐ","W="&amp;IF(MID(D621,4,1)="5",_xlfn.SWITCH(1*MID(LEFT(D621, LEN(D621)-1),6,2),1,1.9,2,1.3,3,1.3,4,1.3,5,1.6,6,1.6,7,1.6,8,3.1,9,3.1,10,3.1,11,3.1,12,3.1),"G6"&amp;_xlfn.SWITCH(1*MID(LEFT(D621, LEN(D621)-1),6,2),1,1.8,2,1.3,3,1.8,4,1.8,5,3.3,6,3.3,7,3.3,8,9.9,9,9.9,10,9.9,11,9.9,12,9.9,13,9.9,14,9.9)),MID(D622,1,3)&lt;&gt;"ｱﾙﾐ","n=1")</f>
        <v>n=1</v>
      </c>
      <c r="J626" s="16" t="str" cm="1">
        <f t="array" ref="J626">_xlfn.IFS(OR(D617=0,D621="　",1*MID(D624,1,2)=1,1*MID(D624,1,2)&gt;=5),"",MID(D622,1,3)="ｱﾙﾐ","kg",MID(D622,1,3)&lt;&gt;"ｱﾙﾐ","式")</f>
        <v>式</v>
      </c>
      <c r="K626" s="80" cm="1">
        <f t="array" ref="K626">_xlfn.IFS(OR(D617=0,D621="　",1*MID(D624,1,2)=1,1*MID(D624,1,2)&gt;=5),"",MID(D622,1,3)="ｱﾙﾐ",_xlfn.SWITCH(MID(D621,4,1),"5",_xlfn.SWITCH(1*MID(D621,6,FIND("H",D621,6)-6),1,1.9,2,1.3,3,1.3,4,1.3,5,1.6,6,1.6,7,1.6,8,3.1,9,3.1,10,3.1,11,3.1,12,3.1),"6",_xlfn.SWITCH(1*MID(D621,6,FIND("H",D621,6)-6),1,1.8,2,1.3,3,1.8,4,1.8,5,3.3,6,3.3,7,3.3,8,9.9,9,9.9,10,9.9,11,9.9,12,9.9,13,9.9,14,9.9)),MID(D622,1,3)&lt;&gt;"ｱﾙﾐ",1)</f>
        <v>1</v>
      </c>
      <c r="L626" s="68">
        <f>IFERROR(D620*K626,"")</f>
        <v>10</v>
      </c>
    </row>
    <row r="627" spans="2:12" ht="11.1" customHeight="1">
      <c r="B627" s="39" t="s">
        <v>18</v>
      </c>
      <c r="C627" s="40" t="s">
        <v>10</v>
      </c>
      <c r="D627" s="75">
        <v>7</v>
      </c>
      <c r="F627" s="24">
        <v>11</v>
      </c>
      <c r="G627" s="17" t="str">
        <f>IF(OR(D617=0,D621="　",1*MID(D624,1,2)=1,1*MID(D624,1,2)&gt;=5),"","配列スペーサ")</f>
        <v>配列スペーサ</v>
      </c>
      <c r="H627" s="29" t="str">
        <f>IF(OR(D617=0,D621="　",1*MID(D624,1,2)=1,1*MID(D624,1,2)&gt;=5),"",IF(MID(D621,4,1)="5","PS5-"&amp;_xlfn.SWITCH(1*MID(D621,6,FIND("H",D621,6)-6),1,"7",2,"2",3,"3",4,"4",5,"7",6,"7",7,"7",8,"12",9,"12",10,"12",11,"12",12,"12"),"PS6-"&amp;_xlfn.SWITCH(1*MID(D621,6,FIND("H",D621,6)-6),1,"7",2,"2",3,"3",4,"4",5,"7",6,"7",7,"7",8,"12",9,"12",10,"12",11,"12",12,"12",13,"14",14,"14",15,"19",16,"19",17,"19",18,"19",19,"19"))&amp;"、ポリエチレン")</f>
        <v>PS5-3、ポリエチレン</v>
      </c>
      <c r="I627" s="52" t="str">
        <f>IF(OR(D617=0,D621="　",1*MID(D624,1,2)=1,1*MID(D624,1,2)&gt;=5),"","n=2")</f>
        <v>n=2</v>
      </c>
      <c r="J627" s="16" t="str">
        <f>IF(OR(D617=0,D621="　",1*MID(D624,1,2)=1,1*MID(D624,1,2)&gt;=5),"","個")</f>
        <v>個</v>
      </c>
      <c r="K627" s="32">
        <f>IF(OR(D617=0,D621="　",1*MID(D624,1,2)=1,1*MID(D624,1,2)&gt;=5),"",2)</f>
        <v>2</v>
      </c>
      <c r="L627" s="68">
        <f>IFERROR(D620*K627,"")</f>
        <v>20</v>
      </c>
    </row>
    <row r="628" spans="2:12" ht="11.1" customHeight="1">
      <c r="B628" s="36" t="s">
        <v>17</v>
      </c>
      <c r="C628" s="11" t="s">
        <v>16</v>
      </c>
      <c r="D628" s="54">
        <v>90</v>
      </c>
      <c r="F628" s="24">
        <v>12</v>
      </c>
      <c r="G628" s="17" t="str">
        <f>IF(OR(D617=0,D621="　"),"","スペーサ")</f>
        <v>スペーサ</v>
      </c>
      <c r="H628" s="29" t="str" cm="1">
        <f t="array" ref="H628">IF(OR(D617=0,D621="　"),"",IF(MID(D621,4,1)="5","S5-"&amp;_xlfn.IFS(1*MID(D621,6,FIND("H",D621,6)-6)&lt;6,"5",1*MID(D621,6,FIND("H",D621,6)-6)&lt;9,"8",1*MID(D621,6,FIND("H",D621,6)-6)&gt;8,"12"),"S6-"&amp;_xlfn.IFS(1*MID(D621,6,FIND("H",D621,6)-6)&lt;4,"3",1*MID(D621,6,FIND("H",D621,6)-6)&lt;7,"6",1*MID(D621,6,FIND("H",D621,6)-6)&lt;10,"9",1*MID(D621,6,FIND("H",D621,6)-6)&lt;13,"12",1*MID(D621,6,FIND("H",D621,6)-6)&lt;15,"14",1*MID(D621,6,FIND("H",D621,6)-6)&lt;20,"19"))&amp;"、ポリプロピレン")</f>
        <v>S5-5、ポリプロピレン</v>
      </c>
      <c r="I628" s="58" t="str">
        <f>IF(OR(D617=0,D621="　"),"","n=mround(アンカー体長－0.4)÷@1.0m, 1.0)")</f>
        <v>n=mround(アンカー体長－0.4)÷@1.0m, 1.0)</v>
      </c>
      <c r="J628" s="16" t="str">
        <f>IF(OR(D617=0,D621="　"),"","個")</f>
        <v>個</v>
      </c>
      <c r="K628" s="38">
        <f>IF(OR(D617=0,D621="　"),"",MROUND((D627-0.4)/1,1))</f>
        <v>7</v>
      </c>
      <c r="L628" s="67">
        <f>IFERROR(D620*K628,"")</f>
        <v>70</v>
      </c>
    </row>
    <row r="629" spans="2:12" ht="11.1" customHeight="1">
      <c r="B629" s="41" t="s">
        <v>37</v>
      </c>
      <c r="C629" s="5" t="s">
        <v>16</v>
      </c>
      <c r="D629" s="66" cm="1">
        <f t="array" ref="D629">IF(OR(D617=0,D621="　"),"",_xlfn.SWITCH(1*MID(D624,1,2),0,_xlfn.SWITCH(1*MID(D621,4,1),5,_xlfn.SWITCH(1*MID(LEFT(D621, LEN(D621)-1),6,2),1,90,2,90,3,90,4,90,5,90,6,115,7,115,8,115,9,135,10,135,11,135,12,135),6,_xlfn.SWITCH(1*MID(LEFT(D621, LEN(D621)-1),6,2),1,90,2,90,3,90,4,115,5,115,6,115,7,135,8,135,9,135,10,146,11,146,12,146,13,165,14,165)),1,_xlfn.SWITCH(1*MID(D621,4,1),5,_xlfn.SWITCH(1*MID(LEFT(D621, LEN(D621)-1),6,2),1,90,2,90,3,90,4,90,5,115,6,115,7,135,8,135,9,135,10,135,11,165,12,165),6,_xlfn.SWITCH(1*MID(LEFT(D621, LEN(D621)-1),6,2),1,90,2,90,3,115,4,115,5,135,6,135,7,135,8,135,9,135,10,165,11,165,12,165,13,165,14,165)),2,_xlfn.SWITCH(1*MID(D621,4,1),5,_xlfn.SWITCH(1*MID(LEFT(D621, LEN(D621)-1),6,2),1,90,2,90,3,115,4,115,5,115,6,115,7,135,8,135,9,146,10,146,11,146,12,146),6,_xlfn.SWITCH(1*MID(LEFT(D621, LEN(D621)-1),6,2),1,90,2,90,3,115,4,115,5,135,6,135,7,146,8,146,9,146,10,165,11,165,12,165,13,216,14,216)),3,_xlfn.SWITCH(1*MID(D621,4,1),5,_xlfn.SWITCH(1*MID(LEFT(D621, LEN(D621)-1),6,2),1,115,2,115,3,115,4,115,5,115,6,135,7,135,8,135,9,146,10,146,11,146,12,146),6,_xlfn.SWITCH(1*MID(LEFT(D621, LEN(D621)-1),6,2),1,115,2,115,3,115,4,135,5,135,6,135,7,146,8,146,9,146,10,165,11,165,12,165,13,216,14,216)),4,_xlfn.SWITCH(1*MID(D621,4,1),5,_xlfn.SWITCH(1*MID(LEFT(D621, LEN(D621)-1),6,2),1,115,2,115,3,115,4,115,5,115,6,135,7,135,8,135,9,146,10,146,11,146,12,146),6,_xlfn.SWITCH(1*MID(LEFT(D621, LEN(D621)-1),6,2),1,115,2,115,3,115,4,135,5,135,6,135,7,146,8,146,9,146,10,165,11,165,12,165,13,216,14,216)),5,_xlfn.SWITCH(1*MID(D621,4,1),5,_xlfn.SWITCH(1*MID(LEFT(D621, LEN(D621)-1),6,2),1,90,2,90,3,115,4,115,5,115,6,115,7,135,8,135,9,165,10,165,11,165,12,165),6,_xlfn.SWITCH(1*MID(LEFT(D621, LEN(D621)-1),6,2),1,90,2,90,3,115,4,115,5,135,6,135,7,165,8,165,9,165,10,165,11,165,12,165,13,216,14,216)),6,_xlfn.SWITCH(1*MID(D621,4,1),5,_xlfn.SWITCH(1*MID(LEFT(D621, LEN(D621)-1),6,2),1,115,2,115,3,115,4,115,5,115,6,135,7,135,8,135,9,165,10,165,11,165,12,165),6,_xlfn.SWITCH(1*MID(LEFT(D621, LEN(D621)-1),6,2),1,115,2,115,3,115,4,135,5,135,6,135,7,165,8,165,9,165,10,165,11,165,12,165,13,216,14,216)),7,_xlfn.SWITCH(1*MID(D621,4,1),5,_xlfn.SWITCH(1*MID(LEFT(D621, LEN(D621)-1),6,2),1,115,2,115,3,115,4,115,5,115,6,135,7,135,8,135,9,165,10,165,11,165,12,165),6,_xlfn.SWITCH(1*MID(LEFT(D621, LEN(D621)-1),6,2),1,115,2,115,3,115,4,135,5,135,6,135,7,165,8,165,9,165,10,165,11,165,12,165,13,216,14,216))))</f>
        <v>90</v>
      </c>
      <c r="F629" s="24">
        <v>13</v>
      </c>
      <c r="G629" s="17" t="str">
        <f>IF(OR(D617=0,D621="　"),"","ﾊﾟｲﾛｯﾄｷｬｯﾌﾟ")</f>
        <v>ﾊﾟｲﾛｯﾄｷｬｯﾌﾟ</v>
      </c>
      <c r="H629" s="29" t="str" cm="1">
        <f t="array" ref="H629">IF(OR(D617=0,D621="　"),"",IF(MID(D621,4,1)="5","PC5-"&amp;_xlfn.IFS(1*MID(D621,6,FIND("H",D621,6)-6)&lt;5,"4",1*MID(D621,6,FIND("H",D621,6)-6)&lt;8,"7",1*MID(D621,6,FIND("H",D621,6)-6)&lt;10,"9",1*MID(D621,6,FIND("H",D621,6)-6)&gt;9,"12"),"PC6-"&amp;_xlfn.IFS(1*MID(D621,6,FIND("H",D621,6)-6)&lt;4,"3",1*MID(D621,6,FIND("H",D621,6)-6)&lt;8,"7",1*MID(D621,6,FIND("H",D621,6)-6)&lt;13,"12",1*MID(D621,6,FIND("H",D621,6)-6)&lt;15,"14",1*MID(D621,6,FIND("H",D621,6)-6)&lt;20,"19"))&amp;"、ポリプロピレン")</f>
        <v>PC5-4、ポリプロピレン</v>
      </c>
      <c r="I629" s="52" t="str">
        <f>IF(OR(D617=0,D621="　"),"","n=1")</f>
        <v>n=1</v>
      </c>
      <c r="J629" s="16" t="str">
        <f>IF(OR(D617=0,D621="　"),"","個")</f>
        <v>個</v>
      </c>
      <c r="K629" s="32">
        <f>IF(OR(D617=0,D621="　"),"",1)</f>
        <v>1</v>
      </c>
      <c r="L629" s="68">
        <f>IFERROR(D620*K629,"")</f>
        <v>10</v>
      </c>
    </row>
    <row r="630" spans="2:12" ht="11.1" customHeight="1">
      <c r="B630" s="43" t="s">
        <v>30</v>
      </c>
      <c r="C630" s="44" t="s">
        <v>31</v>
      </c>
      <c r="D630" s="59" t="str">
        <f>IF(OR(D617=0,D621="　"),"",IF(D628=D629,"OK","CHECK"))</f>
        <v>OK</v>
      </c>
      <c r="F630" s="24">
        <v>14</v>
      </c>
      <c r="G630" s="17" t="str">
        <f>IF(OR(D617=0,D621="　"),"","結束バンド")</f>
        <v>結束バンド</v>
      </c>
      <c r="H630" s="29" t="str">
        <f>IF(OR(D617=0,D621="　"),"","66ナイロン")</f>
        <v>66ナイロン</v>
      </c>
      <c r="I630" s="58" t="str">
        <f>IF(OR(D617=0,D621="　"),"","n=スペーサ数×2")</f>
        <v>n=スペーサ数×2</v>
      </c>
      <c r="J630" s="16" t="str">
        <f>IF(OR(D617=0,D621="　"),"","本")</f>
        <v>本</v>
      </c>
      <c r="K630" s="38">
        <f>IF(OR(D617=0,D621="　"),"",2*K628)</f>
        <v>14</v>
      </c>
      <c r="L630" s="67">
        <f>IFERROR(D620*K630,"")</f>
        <v>140</v>
      </c>
    </row>
    <row r="631" spans="2:12" ht="11.1" customHeight="1">
      <c r="B631" s="45" t="s">
        <v>12</v>
      </c>
      <c r="C631" s="9" t="s">
        <v>10</v>
      </c>
      <c r="D631" s="60">
        <f>IF(OR(D617=0,D621="　"),"──",SUM(D625:D626))</f>
        <v>9</v>
      </c>
      <c r="F631" s="24">
        <v>15</v>
      </c>
      <c r="G631" s="17" t="str">
        <f>IF(OR(D617=0,D621="　"),"","結束テープ")</f>
        <v>結束テープ</v>
      </c>
      <c r="H631" s="29" t="str">
        <f>IF(OR(D617=0,D621="　"),"","フィラメントテープ")</f>
        <v>フィラメントテープ</v>
      </c>
      <c r="I631" s="58" t="str">
        <f>IF(OR(D617=0,D621="　"),"","L=(自由長+緊張部長)÷@1.0m×テープ係数"&amp;IF(MID(D621,4,1)="5",_xlfn.IFS(1*MID(LEFT(D621, LEN(D621)-1),6,2)&lt;4,"0.8",1*MID(LEFT(D621, LEN(D621)-1),6,2)&lt;7,"1.0",1*MID(LEFT(D621, LEN(D621)-1),6,2)&lt;10,"1.2",1*MID(LEFT(D621, LEN(D621)-1),6,2)&lt;13,"1.4"),_xlfn.IFS(1*MID(LEFT(D621, LEN(D621)-1),6,2)&lt;4,"1.0",1*MID(LEFT(D621, LEN(D621)-1),6,2)&lt;7,"1.2",1*MID(LEFT(D621, LEN(D621)-1),6,2)&lt;10,"1.4",1*MID(LEFT(D621, LEN(D621)-1),6,2)&lt;15,"1.8")))</f>
        <v>L=(自由長+緊張部長)÷@1.0m×テープ係数0.8</v>
      </c>
      <c r="J631" s="16" t="str">
        <f>IF(OR(D617=0,D621="　"),"","m")</f>
        <v>m</v>
      </c>
      <c r="K631" s="42" cm="1">
        <f t="array" ref="K631">IF(OR(D617=0,D621="　"),"",MROUND((SUM(D631,D632))/1*IF(MID(D621,4,1)="5",_xlfn.SWITCH(1*MID(D621,6,FIND("H",D621,6)-6),1,0.8,2,0.8,3,0.8,4,1,5,1,6,1,7,1.2,8,1.2,9,1.2,10,1.4,11,1.4,12,1.4),_xlfn.SWITCH(1*MID(D621,6,FIND("H",D621,6)-6),1,1,2,1,3,1,4,1.2,5,1.2,6,1.2,7,1.4,8,1.4,9,1.4,10,1.8,11,1.8,12,1.8,13,1.8,14,1.8,15,2.5,16,2.5,17,2.5,18,2.5,19,2.5)),0.1))</f>
        <v>8</v>
      </c>
      <c r="L631" s="69">
        <f>IFERROR(D620*K631,"")</f>
        <v>80</v>
      </c>
    </row>
    <row r="632" spans="2:12" ht="11.1" customHeight="1">
      <c r="B632" s="47" t="s">
        <v>13</v>
      </c>
      <c r="C632" s="10" t="s">
        <v>10</v>
      </c>
      <c r="D632" s="61" cm="1">
        <f t="array" ref="D632">IF(OR(D617=0,D621="　"),"──",IF(MID(D621,4,1)="5",_xlfn.IFS(1*MID(LEFT(D621,LEN(D621)-1),6,2)&lt;8,1,1*MID(LEFT(D621,LEN(D621)-1),6,2)&lt;13,1.2),_xlfn.IFS(1*MID(LEFT(D621,LEN(D621)-1),6,2)&lt;6,1,1*MID(LEFT(D621,LEN(D621)-1),6,2)&lt;15,1.2)))</f>
        <v>1</v>
      </c>
      <c r="F632" s="24">
        <v>16</v>
      </c>
      <c r="G632" s="17" t="str">
        <f>IF(OR(D617=0,D621="　",1*MID(D624,1,2)=1,1*MID(D624,1,2)=5),"","注入ホース")</f>
        <v>注入ホース</v>
      </c>
      <c r="H632" s="29" t="str">
        <f>IF(OR(D617=0,D621="　",1*MID(D624,1,2)=1,1*MID(D624,1,2)=5),"","φ16/20、高密度ポリエチレン")</f>
        <v>φ16/20、高密度ポリエチレン</v>
      </c>
      <c r="I632" s="46" t="str">
        <f>IF(OR(D617=0,D621="　",1*MID(D624,1,2)=1,1*MID(D624,1,2)=5),"","L=テンドン長")</f>
        <v>L=テンドン長</v>
      </c>
      <c r="J632" s="16" t="str">
        <f>IF(OR(D617=0,D621="　",1*MID(D624,1,2)=1,1*MID(D624,1,2)=5),"","m")</f>
        <v>m</v>
      </c>
      <c r="K632" s="30">
        <f>IF(OR(D617=0,D621="　",1*MID(D624,1,2)=1,1*MID(D624,1,2)=5),"",MROUND(D634,0.1))</f>
        <v>17.2</v>
      </c>
      <c r="L632" s="67">
        <f>IFERROR(D620*K632,"")</f>
        <v>172</v>
      </c>
    </row>
    <row r="633" spans="2:12" ht="11.1" customHeight="1">
      <c r="B633" s="48" t="s">
        <v>19</v>
      </c>
      <c r="C633" s="10" t="s">
        <v>14</v>
      </c>
      <c r="D633" s="62">
        <f>IF(OR(D617=0,D621="　"),"──",0.2)</f>
        <v>0.2</v>
      </c>
      <c r="F633" s="24">
        <v>17</v>
      </c>
      <c r="G633" s="17" t="str" cm="1">
        <f t="array" ref="G633">_xlfn.IFS(OR(D617=0,D621="　",MID(D623,1,2)="なし",MID(D623,1,3)="受圧体",1*MID(D624,1,2)=1,1*MID(D624,1,2)&gt;=5),"",MID(D623,1,3)="のり面","のり面角度台座",MID(D623,1,3)="構造物","構造物壁面台座",MID(D623,1,3)="土留め","土留め台座",MID(D623,1,3)="個別台","個別台座")</f>
        <v>のり面角度台座</v>
      </c>
      <c r="H633" s="46" t="str" cm="1">
        <f t="array" ref="H633">IF(OR(D617=0,D621="　",G633=""),"",_xlfn.IFS(MID(D623,1,3)="のり面",IF(1*MID(D621,4,1)=5,_xlfn.IFS(1*MID(D621,6,FIND("H",D621,6)-6)&lt;5,"ST140",1*MID(D621,6,FIND("H",D621,6)-6)&lt;8,"ST170",1*MID(D621,6,FIND("H",D621,6)-6)&lt;13,"ST220"),_xlfn.IFS(1*MID(D621,6,FIND("H",D621,6)-6)&lt;4,"ST140",1*MID(D621,6,FIND("H",D621,6)-6)&lt;5,"ST170",1*MID(D621,6,FIND("H",D621,6)-6)&lt;8,"ST220",1*MID(D621,6,FIND("H",D621,6)-6)&lt;20,"非該当"))&amp;"、FCD450相当",OR(MID(D623,1,3)="構造物",MID(D623,1,3)="土留め",MID(D623,1,3)="個別台"),D621&amp;"用"&amp;_xlfn.IFS(MID(D623,1,3)="構造物","",MID(D623,1,3)="土留め",IF(1*MID(D621,4,1)=5,_xlfn.SWITCH(1*MID(D621,6,FIND("H",D621,6)-6),1,"DA110",2,"DA220",3,"DA330",4,"DA440",5,"DA550",6,"DA660",7,"DA770",8,"DA880",9,"DA990",10,"DA1100",11,"DA1210",12,"DA1320"),_xlfn.SWITCH(1*MID(D621,6,FIND("H",D621,6)-6),1,"DA220",2,"DA330",3,"DA550",4,"DA660",5,"DA880",6,"DA990",7,"DA1100",8,"DA1320",9,"DA1410",10,"DA1570",11,"DA1730",12,"DA1880",13,"DA2040",14,"DA2200")),MID(D623,1,3)="個別台",D636)))&amp;IF(OR(D617=0,D621="　",G633=""),"","、"&amp;_xlfn.IFS(MID(D619,1,3)="防食Ⅱ","HDZT77めっき",MID(D619,5,2)="塩害","ｱﾙﾐﾅｲｽﾞ処理",MID(D619,5,2)="酸性","重防食処理"))</f>
        <v>ST140、FCD450相当、HDZT77めっき</v>
      </c>
      <c r="I633" s="52" t="str">
        <f>IF(OR(D617=0,D621="　",G633=""),"","n=1")</f>
        <v>n=1</v>
      </c>
      <c r="J633" s="16" t="str">
        <f>IF(OR(D617=0,D621="　",G633=""),"","台")</f>
        <v>台</v>
      </c>
      <c r="K633" s="32">
        <f>IF(OR(D617=0,D621="　",G633=""),"",1)</f>
        <v>1</v>
      </c>
      <c r="L633" s="68">
        <f>IFERROR(D620*K633,"")</f>
        <v>10</v>
      </c>
    </row>
    <row r="634" spans="2:12" ht="11.1" customHeight="1">
      <c r="B634" s="50" t="s">
        <v>20</v>
      </c>
      <c r="C634" s="10" t="s">
        <v>10</v>
      </c>
      <c r="D634" s="63">
        <f>IF(OR(D617=0,D621="　"),"──",SUM(D627,D631:D633))</f>
        <v>17.2</v>
      </c>
      <c r="F634" s="24">
        <v>18</v>
      </c>
      <c r="G634" s="17" t="str">
        <f>IF(OR(D617=0,D621="　",MID(D623,1,3)&lt;&gt;"のり面",1*MID(D624,1,2)=1,1*MID(D624,1,2)&gt;=5),"","補剛板")</f>
        <v>補剛板</v>
      </c>
      <c r="H634" s="46" t="str" cm="1">
        <f t="array" ref="H634">IF(OR(D617=0,D621="　",G634=""),"",IF(MID(D621,4,1)="5","□"&amp;_xlfn.SWITCH(1*MID(D621,6,FIND("H",D621,6)-6),1,"210φ131t12",2,"210φ131t12",3,"240φ131t12",4,"270φ131t12",5,"280φ143t12",6,"310φ143t16",7,"350φ143t19",8,"350φ180t19",9,"350φ180t19",10,"350φ180t19",11,"350φ180t22",12,"350φ180t22"),"□"&amp;_xlfn.SWITCH(1*MID(D621,6,FIND("H",D621,6)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617=0,D621="　",G634=""),"","、"&amp;_xlfn.IFS(MID(D619,1,3)="防食Ⅱ","HDZT77めっき",MID(D619,5,2)="塩害","ｱﾙﾐﾅｲｽﾞ処理",MID(D619,5,2)="酸性","重防食処理"))</f>
        <v>□240φ131t12、SS400相当、HDZT77めっき</v>
      </c>
      <c r="I634" s="52" t="str">
        <f>IF(OR(D617=0,D621="　",G634=""),"","n=1")</f>
        <v>n=1</v>
      </c>
      <c r="J634" s="16" t="str">
        <f>IF(OR(D617=0,D621="　",G634=""),"","枚")</f>
        <v>枚</v>
      </c>
      <c r="K634" s="32">
        <f>IF(OR(D617=0,D621="　",G634=""),"",1)</f>
        <v>1</v>
      </c>
      <c r="L634" s="68">
        <f>IFERROR(D620*K634,"")</f>
        <v>10</v>
      </c>
    </row>
    <row r="635" spans="2:12" ht="11.1" customHeight="1">
      <c r="B635" s="51" t="s">
        <v>15</v>
      </c>
      <c r="C635" s="12" t="s">
        <v>10</v>
      </c>
      <c r="D635" s="64">
        <f>IF(OR(D617=0,D621="　"),"──",0.25)</f>
        <v>0.25</v>
      </c>
      <c r="F635" s="24">
        <v>19</v>
      </c>
      <c r="G635" s="17" t="str" cm="1">
        <f t="array" ref="G635">_xlfn.IFS(OR(D617=0,D621="　",MID(D622,1,3)="ｱﾙﾐ",1*MID(D624,1,2)=1,1*MID(D624,1,2)&gt;=5),"",MID(D622,1,3)&lt;&gt;"ｱﾙﾐ","テンドン補修用塗料")</f>
        <v>テンドン補修用塗料</v>
      </c>
      <c r="H635" s="38" t="str" cm="1">
        <f t="array" ref="H635">_xlfn.IFS(OR(D617=0,D621="　",MID(D622,1,3)="ｱﾙﾐ",1*MID(D624,1,2)=1,1*MID(D624,1,2)&gt;=5),"",MID(D622,1,3)&lt;&gt;"ｱﾙﾐ","エポキシ樹脂")</f>
        <v>エポキシ樹脂</v>
      </c>
      <c r="I635" s="52" t="str" cm="1">
        <f t="array" ref="I635">_xlfn.IFS(OR(D617=0,D621="　",MID(D622,1,3)="ｱﾙﾐ",1*MID(D624,1,2)=1,1*MID(D624,1,2)&gt;=5),"",MID(D622,1,3)&lt;&gt;"ｱﾙﾐ","W=PC鋼より線本数×"&amp;IF(MID(D621,4,1)="5","0.28","0.4"))</f>
        <v>W=PC鋼より線本数×0.28</v>
      </c>
      <c r="J635" s="16" t="str" cm="1">
        <f t="array" ref="J635">_xlfn.IFS(OR(D617=0,D621="　",MID(D622,1,3)="ｱﾙﾐ",1*MID(D624,1,2)=1,1*MID(D624,1,2)&gt;=5),"",MID(D622,1,3)&lt;&gt;"ｱﾙﾐ","g")</f>
        <v>g</v>
      </c>
      <c r="K635" s="77" cm="1">
        <f t="array" ref="K635">_xlfn.IFS(OR(D617=0,D621="　",MID(D622,1,3)="ｱﾙﾐ",1*MID(D624,1,2)=1,1*MID(D624,1,2)&gt;=5),"",MID(D622,1,3)&lt;&gt;"ｱﾙﾐ",MID(D621,6,FIND("H",D621,6)-6)*IF(MID(D621,4,1)="5",0.28,0.4))</f>
        <v>0.84000000000000008</v>
      </c>
      <c r="L635" s="78">
        <f>IFERROR(D620*K635,"")</f>
        <v>8.4</v>
      </c>
    </row>
    <row r="636" spans="2:12" ht="11.1" customHeight="1">
      <c r="B636" s="65" t="s">
        <v>32</v>
      </c>
      <c r="C636" s="3" t="s">
        <v>33</v>
      </c>
      <c r="D636" s="76"/>
      <c r="F636" s="24">
        <v>20</v>
      </c>
      <c r="G636" s="17" t="str" cm="1">
        <f t="array" ref="G636">_xlfn.IFS(OR(D617=0,D621="　",MID(D622,1,3)="ｱﾙﾐ",1*MID(D624,1,2)=1,1*MID(D624,1,2)&gt;=5),"",MID(D622,1,3)&lt;&gt;"ｱﾙﾐ","長期防錆スプレー")</f>
        <v>長期防錆スプレー</v>
      </c>
      <c r="H636" s="38" t="str" cm="1">
        <f t="array" ref="H636">_xlfn.IFS(OR(D617=0,D621="　",MID(D622,1,3)="ｱﾙﾐ",1*MID(D624,1,2)=1,1*MID(D624,1,2)&gt;=5),"",MID(D622,1,3)&lt;&gt;"ｱﾙﾐ","防錆オイル")</f>
        <v>防錆オイル</v>
      </c>
      <c r="I636" s="52" t="str" cm="1">
        <f t="array" ref="I636">_xlfn.IFS(OR(D617=0,D621="　",MID(D622,1,3)="ｱﾙﾐ",1*MID(D624,1,2)=1,1*MID(D624,1,2)&gt;=5),"",MID(D622,1,3)&lt;&gt;"ｱﾙﾐ","n=0.01×(PC鋼より線本数+"&amp;IF(MID(D621,4,1)="5","6","12")&amp;")")</f>
        <v>n=0.01×(PC鋼より線本数+6)</v>
      </c>
      <c r="J636" s="16" t="str" cm="1">
        <f t="array" ref="J636">_xlfn.IFS(OR(D617=0,D621="　",MID(D622,1,3)="ｱﾙﾐ",1*MID(D624,1,2)=1,1*MID(D624,1,2)&gt;=5),"",MID(D622,1,3)&lt;&gt;"ｱﾙﾐ","缶")</f>
        <v>缶</v>
      </c>
      <c r="K636" s="77" cm="1">
        <f t="array" ref="K636">_xlfn.IFS(OR(D617=0,D621="　",MID(D622,1,3)="ｱﾙﾐ",1*MID(D624,1,2)=1,1*MID(D624,1,2)&gt;=5),"",MID(D622,1,3)&lt;&gt;"ｱﾙﾐ",0.01*(IF(MID(D621,4,1)="5",6,12)+MID(LEFT(D621,LEN(D621)-1),6,2)))</f>
        <v>0.09</v>
      </c>
      <c r="L636" s="78">
        <f>IFERROR(D620*K636,"")</f>
        <v>0.89999999999999991</v>
      </c>
    </row>
    <row r="637" spans="2:12" ht="11.1" customHeight="1">
      <c r="F637" s="24">
        <v>21</v>
      </c>
      <c r="G637" s="17" t="str">
        <f>IF(OR(D617=0,D621="　",1*MID(D624,1,2)&lt;=1,1*MID(D624,1,2)=3,,1*MID(D624,1,2)=6),"","ﾌﾘｰﾊﾟｯｶｰ注入ﾎｰｽ")</f>
        <v/>
      </c>
      <c r="H637" s="29" t="str">
        <f>IF(OR(D617=0,D621="　",1*MID(D624,1,2)&lt;=1,1*MID(D624,1,2)=3,,1*MID(D624,1,2)=6),"","φ16/20、ポリエチレン")</f>
        <v/>
      </c>
      <c r="I637" s="29" t="str">
        <f>IF(OR(D617=0,D621="　",1*MID(D624,1,2)&lt;=1,1*MID(D624,1,2)=3,,1*MID(D624,1,2)=6),"","L=自由長+緊張部長")</f>
        <v/>
      </c>
      <c r="J637" s="16" t="str">
        <f>IF(OR(D617=0,D621="　",1*MID(D624,1,2)&lt;=1,1*MID(D624,1,2)=3,,1*MID(D624,1,2)=6),"","m")</f>
        <v/>
      </c>
      <c r="K637" s="30" t="str">
        <f>IF(OR(D617=0,D621="　",1*MID(D624,1,2)&lt;=1,1*MID(D624,1,2)=3,,1*MID(D624,1,2)=6),"",D631+D632)</f>
        <v/>
      </c>
      <c r="L637" s="67" t="str">
        <f>IFERROR(D620*K637,"")</f>
        <v/>
      </c>
    </row>
    <row r="638" spans="2:12" ht="11.1" customHeight="1">
      <c r="F638" s="24">
        <v>22</v>
      </c>
      <c r="G638" s="17" t="str">
        <f>IF(OR(D617=0,D621="　",1*MID(D624,1,2)&lt;=1,1*MID(D624,1,2)=3,,1*MID(D624,1,2)=6),"","フリーパッカー")</f>
        <v/>
      </c>
      <c r="H638" s="52" t="str" cm="1">
        <f t="array" ref="H638">IF(OR(D617=0,D621="　",1*MID(D624,1,2)&lt;=1,1*MID(D624,1,2)=3,1*MID(D624,1,2)=6),"",_xlfn.SWITCH(D628,90,"PA-170",115,"PA-200",135,"PA-240",146,"PA-290",165,"PA-350",216,"PA-420")&amp;"、織布")</f>
        <v/>
      </c>
      <c r="I638" s="52" t="str">
        <f>IF(OR(D617=0,D621="　",1*MID(D624,1,2)&lt;=1,1*MID(D624,1,2)=3,1*MID(D624,1,2)=6),"","L=自由長+0.5")</f>
        <v/>
      </c>
      <c r="J638" s="16" t="str">
        <f>IF(OR(D617=0,D621="　",1*MID(D624,1,2)&lt;=1,1*MID(D624,1,2)=3,,1*MID(D624,1,2)=6),"","m")</f>
        <v/>
      </c>
      <c r="K638" s="30" t="str">
        <f>IF(OR(D617=0,D621="　",1*MID(D624,1,2)&lt;=1,1*MID(D624,1,2)=3,,1*MID(D624,1,2)=6),"",D631+0.5)</f>
        <v/>
      </c>
      <c r="L638" s="69" t="str">
        <f>IFERROR(D620*K638,"")</f>
        <v/>
      </c>
    </row>
    <row r="639" spans="2:12" ht="11.1" customHeight="1">
      <c r="F639" s="24">
        <v>23</v>
      </c>
      <c r="G639" s="17" t="str">
        <f>IF(OR(D617=0,D621="　",1*MID(D624,1,2)&lt;=1,1*MID(D624,1,2)=3,,1*MID(D624,1,2)=6),"","ﾌﾘｰﾊﾟｯｶｰ取付加工")</f>
        <v/>
      </c>
      <c r="H639" s="29" t="str">
        <f>IF(OR(D617=0,D621="　",1*MID(D624,1,2)&lt;=1,1*MID(D624,1,2)=3,,1*MID(D624,1,2)=6),"","材工")</f>
        <v/>
      </c>
      <c r="I639" s="29" t="str">
        <f>IF(OR(D617=0,D621="　",1*MID(D624,1,2)&lt;=1,1*MID(D624,1,2)=3,,1*MID(D624,1,2)=6),"","n=1")</f>
        <v/>
      </c>
      <c r="J639" s="16" t="str">
        <f>IF(OR(D617=0,D621="　",1*MID(D624,1,2)&lt;=1,1*MID(D624,1,2)=3,,1*MID(D624,1,2)=6),"","式")</f>
        <v/>
      </c>
      <c r="K639" s="32" t="str">
        <f>IF(OR(D617=0,D621="　",1*MID(D624,1,2)&lt;=1,1*MID(D624,1,2)=3,,1*MID(D624,1,2)=6),"",1)</f>
        <v/>
      </c>
      <c r="L639" s="70" t="str">
        <f>IFERROR(D620*K639,"")</f>
        <v/>
      </c>
    </row>
    <row r="640" spans="2:12" ht="11.1" customHeight="1">
      <c r="F640" s="24">
        <v>24</v>
      </c>
      <c r="G640" s="17" t="str">
        <f>IF(OR(D617=0,D621="　",1*MID(D624,1,2)&lt;=2,1*MID(D624,1,2)=5),"","フリクションパッカー")</f>
        <v/>
      </c>
      <c r="H640" s="38" t="str" cm="1">
        <f t="array" ref="H640">IF(OR(D617=0,D621="　",1*MID(D624,1,2)&lt;=2,1*MID(D624,1,2)=5),"",_xlfn.SWITCH(D628,90,"FP125",115,"FP125",135,"FP150",146,"FP175",165,"FP200",216,"FP235")&amp;"、パイレン布")</f>
        <v/>
      </c>
      <c r="I640" s="38" t="str">
        <f>IF(OR(D617=0,D621="　",1*MID(D624,1,2)&lt;=2,1*MID(D624,1,2)=5),"","L=アンカー体長+0.5")</f>
        <v/>
      </c>
      <c r="J640" s="16" t="str">
        <f>IF(OR(D617=0,D621="　",1*MID(D624,1,2)&lt;=2,1*MID(D624,1,2)=5),"","m")</f>
        <v/>
      </c>
      <c r="K640" s="30" t="str">
        <f>IF(OR(D617=0,D621="　",1*MID(D624,1,2)&lt;=2,1*MID(D624,1,2)=5),"",D627+0.5)</f>
        <v/>
      </c>
      <c r="L640" s="68" t="str">
        <f>IFERROR(D620*K640,"")</f>
        <v/>
      </c>
    </row>
    <row r="641" spans="2:12" ht="11.1" customHeight="1">
      <c r="F641" s="24">
        <v>25</v>
      </c>
      <c r="G641" s="17" t="str">
        <f>IF(OR(D617=0,D621="　",1*MID(D624,1,2)&lt;=2,1*MID(D624,1,2)=5),"","ﾌﾘｸｼｮﾝﾊﾟｯｶｰ取付加工")</f>
        <v/>
      </c>
      <c r="H641" s="29" t="str">
        <f>IF(OR(D617=0,D621="　",1*MID(D624,1,2)&lt;=2,1*MID(D624,1,2)=5),"","材工")</f>
        <v/>
      </c>
      <c r="I641" s="29" t="str">
        <f>IF(OR(D617=0,D621="　",1*MID(D624,1,2)&lt;=2,1*MID(D624,1,2)=5),"","n=1")</f>
        <v/>
      </c>
      <c r="J641" s="16" t="str">
        <f>IF(OR(D617=0,D621="　",1*MID(D624,1,2)&lt;=2,1*MID(D624,1,2)=5),"","式")</f>
        <v/>
      </c>
      <c r="K641" s="32" t="str">
        <f>IF(OR(D617=0,D621="　",1*MID(D624,1,2)&lt;=2,1*MID(D624,1,2)=5),"",1)</f>
        <v/>
      </c>
      <c r="L641" s="70" t="str">
        <f>IFERROR(D620*K641,"")</f>
        <v/>
      </c>
    </row>
    <row r="642" spans="2:12" ht="11.1" customHeight="1">
      <c r="F642" s="24">
        <v>26</v>
      </c>
      <c r="G642" s="17" t="str">
        <f>IF(OR(D617=0,D621="　",1*MID(D624,1,2)=0,1*MID(D624,1,2)=2,1*MID(D624,1,2)=3,1*MID(D624,1,2)=4),"","試験ﾊﾟｯｶｰ水注入ﾎｰｽ")</f>
        <v/>
      </c>
      <c r="H642" s="38" t="str">
        <f>IF(OR(D617=0,D621="　",1*MID(D624,1,2)=0,1*MID(D624,1,2)=2,1*MID(D624,1,2)=3,1*MID(D624,1,2)=4),"","φ4/6、ナイロン")</f>
        <v/>
      </c>
      <c r="I642" s="38" t="str">
        <f>IF(OR(D617=0,D621="　",1*MID(D624,1,2)=0,1*MID(D624,1,2)=2,1*MID(D624,1,2)=3,1*MID(D624,1,2)=4),"","L=自由長+緊張部長")</f>
        <v/>
      </c>
      <c r="J642" s="79" t="str">
        <f>IF(OR(D617=0,D621="　",1*MID(D624,1,2)=0,1*MID(D624,1,2)=2,1*MID(D624,1,2)=3,1*MID(D624,1,2)=4),"","m")</f>
        <v/>
      </c>
      <c r="K642" s="80" t="str">
        <f>IF(OR(D617=0,D621="　",1*MID(D624,1,2)=0,1*MID(D624,1,2)=2,1*MID(D624,1,2)=3,1*MID(D624,1,2)=4),"",D631+D632)</f>
        <v/>
      </c>
      <c r="L642" s="81" t="str">
        <f>IFERROR(D620*K642,"")</f>
        <v/>
      </c>
    </row>
    <row r="643" spans="2:12" ht="11.1" customHeight="1">
      <c r="F643" s="24">
        <v>27</v>
      </c>
      <c r="G643" s="17" t="str">
        <f>IF(OR(D617=0,D621="　",1*MID(D624,1,2)=0,1*MID(D624,1,2)=2,1*MID(D624,1,2)=3,1*MID(D624,1,2)=4),"","引抜試験パッカー")</f>
        <v/>
      </c>
      <c r="H643" s="38" t="str" cm="1">
        <f t="array" ref="H643">IF(OR(D617=0,D621="　",1*MID(D624,1,2)=0,1*MID(D624,1,2)=2,1*MID(D624,1,2)=3,1*MID(D624,1,2)=4),"",_xlfn.SWITCH(D628,90,"PU90",115,"PU115",135,"PU135",146,"PU146",165,"PU165")&amp;"、3層構造(鋼管･ゴム･布)")</f>
        <v/>
      </c>
      <c r="I643" s="38" t="str">
        <f>IF(OR(D617=0,D621="　",1*MID(D624,1,2)=0,1*MID(D624,1,2)=2,1*MID(D624,1,2)=3,1*MID(D624,1,2)=4),"","n=1")</f>
        <v/>
      </c>
      <c r="J643" s="79" t="str">
        <f>IF(OR(D617=0,D621="　",1*MID(D624,1,2)=0,1*MID(D624,1,2)=2,1*MID(D624,1,2)=3,1*MID(D624,1,2)=4),"","式")</f>
        <v/>
      </c>
      <c r="K643" s="32" t="str" cm="1">
        <f t="array" ref="K643">IF(OR(D617=0,D621="　",1*MID(D624,1,2)=0,1*MID(D624,1,2)=2,1*MID(D624,1,2)=3,1*MID(D624,1,2)=4),"",_xlfn.IFS(OR(1*MID(D624,1,2)=1,1*MID(D624,1,2)&gt;=5),1))</f>
        <v/>
      </c>
      <c r="L643" s="68" t="str">
        <f>IFERROR(D620*K643,"")</f>
        <v/>
      </c>
    </row>
    <row r="644" spans="2:12" ht="11.1" customHeight="1">
      <c r="F644" s="24">
        <v>28</v>
      </c>
      <c r="G644" s="17" t="str">
        <f>IF(OR(D617=0,D621="　",1*MID(D624,1,2)=0,1*MID(D624,1,2)=2,1*MID(D624,1,2)=3,1*MID(D624,1,2)=4),"","引抜試験パッカー取付加工")</f>
        <v/>
      </c>
      <c r="H644" s="38" t="str">
        <f>IF(OR(D617=0,D621="　",1*MID(D624,1,2)=0,1*MID(D624,1,2)=2,1*MID(D624,1,2)=3,1*MID(D624,1,2)=4),"","材工")</f>
        <v/>
      </c>
      <c r="I644" s="38" t="str">
        <f>IF(OR(D617=0,D621="　",1*MID(D624,1,2)=0,1*MID(D624,1,2)=2,1*MID(D624,1,2)=3,1*MID(D624,1,2)=4),"","n=1")</f>
        <v/>
      </c>
      <c r="J644" s="79" t="str" cm="1">
        <f t="array" ref="J644">IF(OR(D617=0,D621="　",1*MID(D624,1,2)=0,1*MID(D624,1,2)=2,1*MID(D624,1,2)=3,1*MID(D624,1,2)=4),"",_xlfn.IFS(OR(1*MID(D624,1,2)=1,1*MID(D624,1,2)&gt;=5),"式"))</f>
        <v/>
      </c>
      <c r="K644" s="32" t="str" cm="1">
        <f t="array" ref="K644">IF(OR(D617=0,D621="　",1*MID(D624,1,2)=0,1*MID(D624,1,2)=2,1*MID(D624,1,2)=3,1*MID(D624,1,2)=4),"",_xlfn.IFS(OR(1*MID(D624,1,2)=1,1*MID(D624,1,2)&gt;=5),1))</f>
        <v/>
      </c>
      <c r="L644" s="68" t="str">
        <f>IFERROR(D620*K644,"")</f>
        <v/>
      </c>
    </row>
    <row r="645" spans="2:12" ht="11.1" customHeight="1">
      <c r="F645" s="24">
        <v>29</v>
      </c>
      <c r="G645" s="17" t="str">
        <f>IF(OR(D617=0,D621="　",1*MID(D624,1,2)=0,1*MID(D624,1,2)=2,1*MID(D624,1,2)=3,1*MID(D624,1,2)=4),"","自由長洗浄ﾎｰｽ")</f>
        <v/>
      </c>
      <c r="H645" s="38" t="str">
        <f>IF(OR(D617=0,D621="　",1*MID(D624,1,2)=0,1*MID(D624,1,2)=2,1*MID(D624,1,2)=3,1*MID(D624,1,2)=4),"","φ16/20、ポリエチレン")</f>
        <v/>
      </c>
      <c r="I645" s="38" t="str">
        <f>IF(OR(D617=0,D621="　",1*MID(D624,1,2)=0,1*MID(D624,1,2)=2,1*MID(D624,1,2)=3,1*MID(D624,1,2)=4),"","L=自由長+0.5")</f>
        <v/>
      </c>
      <c r="J645" s="79" t="str">
        <f>IF(OR(D617=0,D621="　",1*MID(D624,1,2)=0,1*MID(D624,1,2)=2,1*MID(D624,1,2)=3,1*MID(D624,1,2)=4),"","m")</f>
        <v/>
      </c>
      <c r="K645" s="32" t="str">
        <f>IF(OR(D617=0,D621="　",1*MID(D624,1,2)=0,1*MID(D624,1,2)=2,1*MID(D624,1,2)=3,1*MID(D624,1,2)=4),"",D631+0.5)</f>
        <v/>
      </c>
      <c r="L645" s="81" t="str">
        <f>IFERROR(D620*K645,"")</f>
        <v/>
      </c>
    </row>
    <row r="646" spans="2:12" ht="11.1" customHeight="1">
      <c r="D646" s="1" t="s">
        <v>9</v>
      </c>
      <c r="F646" s="56">
        <v>30</v>
      </c>
      <c r="G646" s="82" t="str">
        <f>IF(OR(D617=0,D621="　",1*MID(D624,1,2)&lt;=2,1*MID(D624,1,2)=5,MID(D646,6,2)&lt;&gt;"あり"),"","確認ホース")</f>
        <v/>
      </c>
      <c r="H646" s="83" t="str">
        <f>IF(OR(D617=0,D621="　",1*MID(D624,1,2)&lt;=2,1*MID(D624,1,2)=5,MID(D646,6,2)&lt;&gt;"あり"),"","φ17、ポリエチレン")</f>
        <v/>
      </c>
      <c r="I646" s="83"/>
      <c r="J646" s="84" t="str">
        <f>IF(OR(D617=0,D621="　",1*MID(D624,1,2)&lt;=2,1*MID(D624,1,2)=5,MID(D646,6,2)&lt;&gt;"あり"),"","m")</f>
        <v/>
      </c>
      <c r="K646" s="85" t="str">
        <f>IF(OR(D616=0,D621="　",1*MID(D624,1,2)&lt;=2,1*MID(D624,1,2)=5,MID(D646,6,2)&lt;&gt;"あり"),"",0.5+MROUND(D631+D633,0.1))</f>
        <v/>
      </c>
      <c r="L646" s="86" t="str">
        <f>IFERROR(D620*K646,"")</f>
        <v/>
      </c>
    </row>
    <row r="648" spans="2:12" ht="11.1" customHeight="1">
      <c r="B648" s="19" t="s">
        <v>1</v>
      </c>
      <c r="D648" s="4"/>
      <c r="G648" s="73" t="s">
        <v>39</v>
      </c>
    </row>
    <row r="649" spans="2:12" ht="11.1" customHeight="1">
      <c r="G649" s="99">
        <f>D650</f>
        <v>20</v>
      </c>
      <c r="H649" s="55" t="str">
        <f>IF(D651=0,"",D652&amp;" "&amp;D655&amp; "："&amp;TEXT(D668,"L=##0.00")&amp;"m"&amp;TEXT(D666,",L1=##0.00")&amp;"m"&amp;TEXT(D665,",Lf=##0.00")&amp;"m"&amp;TEXT(D661,",LA=##0.00")&amp;"m"&amp;TEXT(D667,",L2=##0.00")&amp;"m")</f>
        <v>(20)1段/2段 EHD5-3H：L=17.20m,L1=1.00m,Lf=9.00m,LA=7.00m,L2=0.20m</v>
      </c>
      <c r="I649" s="55"/>
      <c r="J649" s="18"/>
    </row>
    <row r="650" spans="2:12" ht="11.1" customHeight="1">
      <c r="B650" s="13" t="s">
        <v>2</v>
      </c>
      <c r="C650" s="3" t="s">
        <v>3</v>
      </c>
      <c r="D650" s="98">
        <f>1+(ROW()-ROW($D$4))/34</f>
        <v>20</v>
      </c>
      <c r="F650" s="20"/>
      <c r="G650" s="21" t="s">
        <v>21</v>
      </c>
      <c r="H650" s="22" t="s">
        <v>22</v>
      </c>
      <c r="I650" s="22" t="s">
        <v>38</v>
      </c>
      <c r="J650" s="23" t="s">
        <v>23</v>
      </c>
      <c r="K650" s="22" t="s">
        <v>24</v>
      </c>
      <c r="L650" s="3" t="s">
        <v>4</v>
      </c>
    </row>
    <row r="651" spans="2:12" ht="11.1" customHeight="1">
      <c r="B651" s="28" t="s">
        <v>25</v>
      </c>
      <c r="C651" s="5" t="s">
        <v>26</v>
      </c>
      <c r="D651" s="6">
        <v>1</v>
      </c>
      <c r="F651" s="24">
        <v>1</v>
      </c>
      <c r="G651" s="25" t="str">
        <f>IF(OR(D651=0,D655="　"),"","硅砂付着ECFﾃﾝﾄﾞﾝ")</f>
        <v>硅砂付着ECFﾃﾝﾄﾞﾝ</v>
      </c>
      <c r="H651" s="26" t="str">
        <f>IF(OR(D651=0,D655="　"),"",D655&amp;" ("&amp;MID(D655,6,FIND("H",D655,6)-6)&amp;IF(MID(D655,4,1)="5","φ12.7","φ15.2")&amp;")")</f>
        <v>EHD5-3H (3φ12.7)</v>
      </c>
      <c r="I651" s="57" t="str">
        <f>IF(OR(D651=0,D655="　"),"","W=テンドン長×PC鋼より線本数×"&amp;IF(MID(D655,4,1)="5","0.774","1.101")&amp;"kg/m")</f>
        <v>W=テンドン長×PC鋼より線本数×0.774kg/m</v>
      </c>
      <c r="J651" s="14" t="str">
        <f>IF(OR(D651=0,D655="　"),"","kg")</f>
        <v>kg</v>
      </c>
      <c r="K651" s="27">
        <f>IF(OR(D651=0,D655="　"),"",MROUND(D668*MID(D655,6,FIND("H",D655,6)-6)*IF(MID(D655,4,1)="5","0.774","1.101"),0.01))</f>
        <v>39.94</v>
      </c>
      <c r="L651" s="15">
        <f>IFERROR(D654*K651,"")</f>
        <v>399.4</v>
      </c>
    </row>
    <row r="652" spans="2:12" ht="11.1" customHeight="1">
      <c r="B652" s="31" t="s">
        <v>45</v>
      </c>
      <c r="C652" s="71" t="s">
        <v>6</v>
      </c>
      <c r="D652" s="74" t="s">
        <v>106</v>
      </c>
      <c r="F652" s="24">
        <v>2</v>
      </c>
      <c r="G652" s="17" t="str">
        <f>IF(OR(D651=0,D655="　"),"","アンカー工場加工")</f>
        <v>アンカー工場加工</v>
      </c>
      <c r="H652" s="29"/>
      <c r="I652" s="46" t="str">
        <f>IF(OR(D651=0,D655="　"),"","L=テンドン長")</f>
        <v>L=テンドン長</v>
      </c>
      <c r="J652" s="16" t="str">
        <f>IF(OR(D651=0,D655="　"),"","m")</f>
        <v>m</v>
      </c>
      <c r="K652" s="30">
        <f>IF(OR(D651=0,D655="　"),"",MROUND(D668,0.1))</f>
        <v>17.2</v>
      </c>
      <c r="L652" s="67">
        <f>IFERROR(D654*K652,"")</f>
        <v>172</v>
      </c>
    </row>
    <row r="653" spans="2:12" ht="11.1" customHeight="1">
      <c r="B653" s="34" t="s">
        <v>7</v>
      </c>
      <c r="C653" s="49" t="s">
        <v>6</v>
      </c>
      <c r="D653" s="2" t="s">
        <v>34</v>
      </c>
      <c r="F653" s="24">
        <v>3</v>
      </c>
      <c r="G653" s="17" t="str">
        <f>IF(OR(D651=0,D655="　",1*MID(D658,1,2)=1,1*MID(D658,1,2)&gt;=5),"","頭部キャップ")</f>
        <v>頭部キャップ</v>
      </c>
      <c r="H653" s="29" t="str" cm="1">
        <f t="array" ref="H653">IF(OR(D651=0,D655="　",1*MID(D658,1,2)=1,1*MID(D658,1,2)&gt;=5),"",IF(MID(D655,4,1)="5",_xlfn.SWITCH(1*MID(D655,6,FIND("H",D655,6)-6),1,"S",2,"S",3,"S",4,"S",5,"M",6,"M",7,"M",8,"L",9,"L",10,"L",11,"L",12,"L"),_xlfn.SWITCH(1*MID(D655,6,FIND("H",D655,6)-6),1,"S",2,"S",3,"M",4,"M",5,"L",6,"L",7,"L",8,"LL",9,"LL",10,"LL",11,"LL",12,"LL",13,"LL",14,"LL",15,"3L",16,"3L",17,"3L",18,"3L",19,"3L"))&amp;"型"&amp;MID(D656,IF(MID(D656,1,1)="G",4,1),10)&amp;IF(OR(MID(D656,1,2)="透明",MID(D656,1,2)="5窓"),"、PC樹脂","")&amp;IF(MID(D656,4,2)="鋼製","、SS400相当、HDZT77めっき","、ｱﾙﾐAC4C相当"))&amp;_xlfn.IFS(OR(D651=0,D655="　",MID(D653,1,3)="防食Ⅱ"),"",MID(D653,5,2)="塩害","、ﾀｹｺｰﾄ処理",MID(D653,5,2)="酸性","、重防食処理")</f>
        <v>S型透明ｷｬｯﾌﾟ、PC樹脂、ｱﾙﾐAC4C相当</v>
      </c>
      <c r="I653" s="52" t="str">
        <f>IF(OR(D651=0,D655="　",1*MID(D658,1,2)=1,1*MID(D658,1,2)&gt;=5),"","n=1")</f>
        <v>n=1</v>
      </c>
      <c r="J653" s="16" t="str">
        <f>IF(OR(D651=0,D655="　",1*MID(D658,1,2)=1,1*MID(D658,1,2)&gt;=5),"","個")</f>
        <v>個</v>
      </c>
      <c r="K653" s="32">
        <f>IF(OR(D651=0,D655="　",1*MID(D658,1,2)=1,1*MID(D658,1,2)&gt;=5),"",1)</f>
        <v>1</v>
      </c>
      <c r="L653" s="68">
        <f>IFERROR(D654*K653,"")</f>
        <v>10</v>
      </c>
    </row>
    <row r="654" spans="2:12" ht="11.1" customHeight="1">
      <c r="B654" s="31" t="s">
        <v>27</v>
      </c>
      <c r="C654" s="10" t="s">
        <v>5</v>
      </c>
      <c r="D654" s="75">
        <v>10</v>
      </c>
      <c r="F654" s="24">
        <v>4</v>
      </c>
      <c r="G654" s="17" t="str">
        <f>IF(OR(D651=0,D655="　",1*MID(D658,1,2)=1,1*MID(D658,1,2)&gt;=5),"","アンカーヘッド")</f>
        <v>アンカーヘッド</v>
      </c>
      <c r="H654" s="29" t="str" cm="1">
        <f t="array" ref="H654">IF(OR(D651=0,D655="　",1*MID(D658,1,2)=1,1*MID(D658,1,2)&gt;=5),"",IF(MID(D655,4,1)="5","G5"&amp;_xlfn.SWITCH(1*MID(D655,6,FIND("H",D655,6)-6),1,"01",2,"02",3,"03",4,"04",5,"07",6,"07",7,"07",8,"09",9,"09",10,"12",11,"12",12,"12"),"G6"&amp;_xlfn.SWITCH(1*MID(D655,6,FIND("H",D655,6)-6),1,"01",2,"02",3,"03",4,"04",5,"07",6,"07",7,"07",8,"09",9,"09",10,"12",11,"12",12,"12",13,"14",14,"14",15,"19",16,"19",17,"19",18,"19",19,"19"))&amp;"、S45C相当")&amp;IF(OR(D651=0,D655="　",MID(D656,1,3)="ｱﾙﾐ",1*MID(D658,1,2)=1,1*MID(D658,1,2)&gt;=5),"","、無電解Niめっき")</f>
        <v>G503、S45C相当、無電解Niめっき</v>
      </c>
      <c r="I654" s="52" t="str">
        <f>IF(OR(D651=0,D655="　",1*MID(D658,1,2)=1,1*MID(D658,1,2)&gt;=5),"","n=1")</f>
        <v>n=1</v>
      </c>
      <c r="J654" s="16" t="str">
        <f>IF(OR(D651=0,D655="　",1*MID(D658,1,2)=1,1*MID(D658,1,2)&gt;=5),"","個")</f>
        <v>個</v>
      </c>
      <c r="K654" s="32">
        <f>IF(OR(D651=0,D655="　",1*MID(D658,1,2)=1,1*MID(D658,1,2)&gt;=5),"",1)</f>
        <v>1</v>
      </c>
      <c r="L654" s="68">
        <f>IFERROR(D654*K654,"")</f>
        <v>10</v>
      </c>
    </row>
    <row r="655" spans="2:12" ht="11.1" customHeight="1">
      <c r="B655" s="33" t="s">
        <v>28</v>
      </c>
      <c r="C655" s="71" t="s">
        <v>6</v>
      </c>
      <c r="D655" s="7" t="s">
        <v>0</v>
      </c>
      <c r="F655" s="24">
        <v>5</v>
      </c>
      <c r="G655" s="17" t="str">
        <f>IF(OR(D651=0,D655="　",1*MID(D658,1,2)=1,1*MID(D658,1,2)&gt;=5),"","ナット")</f>
        <v>ナット</v>
      </c>
      <c r="H655" s="29" t="str" cm="1">
        <f t="array" ref="H655">IF(OR(D651=0,D655="　",1*MID(D658,1,2)=1,1*MID(D658,1,2)&gt;=5),"",IF(MID(D655,4,1)="5","G5"&amp;_xlfn.SWITCH(1*MID(D655,6,FIND("H",D655,6)-6),1,"01",2,"02",3,"03",4,"04",5,"07",6,"07",7,"07",8,"09",9,"09",10,"12",11,"12",12,"12"),"G6"&amp;_xlfn.SWITCH(1*MID(D655,6,FIND("H",D655,6)-6),1,"01",2,"02",3,"03",4,"04",5,"07",6,"07",7,"07",8,"09",9,"09",10,"12",11,"12",12,"12",13,"14",14,"14",15,"19",16,"19",17,"19",18,"19",19,"19"))&amp;"、S45C相当")&amp;IF(OR(D651=0,D655="　",MID(D656,1,3)="ｱﾙﾐ",1*MID(D658,1,2)=1,1*MID(D658,1,2)&gt;=5),"","、無電解Niめっき")</f>
        <v>G503、S45C相当、無電解Niめっき</v>
      </c>
      <c r="I655" s="52" t="str">
        <f>IF(OR(D651=0,D655="　",1*MID(D658,1,2)=1,1*MID(D658,1,2)&gt;=5),"","n=1")</f>
        <v>n=1</v>
      </c>
      <c r="J655" s="16" t="str">
        <f>IF(OR(D651=0,D655="　",1*MID(D658,1,2)=1,1*MID(D658,1,2)&gt;=5),"","個")</f>
        <v>個</v>
      </c>
      <c r="K655" s="32">
        <f>IF(OR(D651=0,D655="　",1*MID(D658,1,2)=1,1*MID(D658,1,2)&gt;=5),"",1)</f>
        <v>1</v>
      </c>
      <c r="L655" s="68">
        <f>IFERROR(D654*K655,"")</f>
        <v>10</v>
      </c>
    </row>
    <row r="656" spans="2:12" ht="11.1" customHeight="1">
      <c r="B656" s="35" t="s">
        <v>29</v>
      </c>
      <c r="C656" s="49" t="s">
        <v>6</v>
      </c>
      <c r="D656" s="2" t="s">
        <v>35</v>
      </c>
      <c r="F656" s="24">
        <v>6</v>
      </c>
      <c r="G656" s="17" t="str">
        <f>IF(OR(D651=0,D655="　",1*MID(D658,1,2)=1,1*MID(D658,1,2)&gt;=5),"","くさび")</f>
        <v>くさび</v>
      </c>
      <c r="H656" s="29" t="str">
        <f>IF(OR(D651=0,D655="　",1*MID(D658,1,2)=1,1*MID(D658,1,2)&gt;=5),"",IF(1*MID(D655,4,1)=5,"ECF12.7","ECF15.2")&amp;"、SCM415相当")&amp;IF(OR(D651=0,D655="　",MID(D656,1,3)="ｱﾙﾐ",1*MID(D658,1,2)=1,1*MID(D658,1,2)&gt;=5),"","、無電解Niめっき")</f>
        <v>ECF12.7、SCM415相当、無電解Niめっき</v>
      </c>
      <c r="I656" s="52" t="str">
        <f>IF(OR(D651=0,D655="　",1*MID(D658,1,2)=1,1*MID(D658,1,2)&gt;=5),"","n=1")</f>
        <v>n=1</v>
      </c>
      <c r="J656" s="16" t="str">
        <f>IF(OR(D651=0,D655="　",1*MID(D658,1,2)=1,1*MID(D658,1,2)&gt;=5),"","式")</f>
        <v>式</v>
      </c>
      <c r="K656" s="32">
        <f>IF(OR(D651=0,D655="　",1*MID(D658,1,2)=1,1*MID(D658,1,2)&gt;=5),"",1)</f>
        <v>1</v>
      </c>
      <c r="L656" s="68">
        <f>IFERROR(D654*K656,"")</f>
        <v>10</v>
      </c>
    </row>
    <row r="657" spans="2:12" ht="11.1" customHeight="1">
      <c r="B657" s="35" t="s">
        <v>8</v>
      </c>
      <c r="C657" s="49" t="s">
        <v>6</v>
      </c>
      <c r="D657" s="2" t="s">
        <v>36</v>
      </c>
      <c r="F657" s="24">
        <v>7</v>
      </c>
      <c r="G657" s="17" t="str">
        <f>IF(OR(D651=0,D655="　",1*MID(D658,1,2)=1,1*MID(D658,1,2)&gt;=5),"","押え板")</f>
        <v>押え板</v>
      </c>
      <c r="H657" s="29" t="str" cm="1">
        <f t="array" ref="H657">IF(OR(D651=0,D655="　",1*MID(D658,1,2)=1,1*MID(D658,1,2)&gt;=5),"",IF(MID(D655,4,1)="5","G5"&amp;_xlfn.SWITCH(1*MID(D655,6,FIND("H",D655,6)-6),1,"01",2,"04",3,"03",4,"04",5,"07",6,"07",7,"07",8,"12",9,"12",10,"12",11,"12",12,"12"),"G6"&amp;_xlfn.SWITCH(1*MID(D655,6,FIND("H",D655,6)-6),1,"01",2,"02",3,"03",4,"04",5,"07",6,"07",7,"07",8,"12",9,"12",10,"12",11,"12",12,"12",13,"14",14,"14",15,"19",16,"19",17,"19",18,"19",19,"19"))&amp;"、SS400相当")&amp;IF(OR(D651=0,D655="　",1*MID(D658,1,2)=1,1*MID(D658,1,2)&gt;=5),"","、"&amp;_xlfn.IFS(MID(D653,1,3)="防食Ⅱ","HDZT77めっき",MID(D653,5,2)="塩害","ｱﾙﾐﾅｲｽﾞ処理",MID(D653,5,2)="酸性","重防食処理"))</f>
        <v>G503、SS400相当、HDZT77めっき</v>
      </c>
      <c r="I657" s="52" t="str">
        <f>IF(OR(D651=0,D655="　",1*MID(D658,1,2)=1,1*MID(D658,1,2)&gt;=5),"","n=1")</f>
        <v>n=1</v>
      </c>
      <c r="J657" s="16" t="str">
        <f>IF(OR(D651=0,D655="　",1*MID(D658,1,2)=1,1*MID(D658,1,2)&gt;=5),"","枚")</f>
        <v>枚</v>
      </c>
      <c r="K657" s="32">
        <f>IF(OR(D651=0,D655="　",1*MID(D658,1,2)=1,1*MID(D658,1,2)&gt;=5),"",1)</f>
        <v>1</v>
      </c>
      <c r="L657" s="68">
        <f>IFERROR(D654*K657,"")</f>
        <v>10</v>
      </c>
    </row>
    <row r="658" spans="2:12" ht="11.1" customHeight="1">
      <c r="B658" s="36" t="s">
        <v>87</v>
      </c>
      <c r="C658" s="72" t="s">
        <v>6</v>
      </c>
      <c r="D658" s="8" t="s">
        <v>42</v>
      </c>
      <c r="F658" s="24">
        <v>8</v>
      </c>
      <c r="G658" s="17" t="str">
        <f>IF(OR(D651=0,D655="　"),"",IF(OR(1*MID(D658,1,2)=1,1*MID(D658,1,2)&gt;=5,MID(D657,1,3)&lt;&gt;"のり面"),"","管付")&amp;"支圧板")</f>
        <v>管付支圧板</v>
      </c>
      <c r="H658" s="29" t="str" cm="1">
        <f t="array" ref="H658">IF(OR(D651=0,D655="　"),"","PL"&amp;IF(OR(1*MID(D658,1,2)=1,1*MID(D658,1,2)&gt;=5,MID(D657,1,3)&lt;&gt;"のり面"),"","P")&amp;IF(MID(D655,4,1)="5","5-"&amp;_xlfn.SWITCH(1*MID(D655,6,FIND("H",D655,6)-6),1,"1",2,"2",3,"3",4,"4",5,"5",6,"6",7,"7",8,"9",9,"9",10,"10",11,"11",12,"12"),"6-"&amp;_xlfn.SWITCH(1*MID(D655,6,FIND("H",D655,6)-6),1,"1",2,"2",3,"3",4,"4",5,"6",6,"6",7,"7",8,"8",9,"9",10,"10",11,"11",12,"12",13,"14",14,"14",15,"16",16,"16",17,"17",18,"18",19,"19"))&amp;"、SS400相当")&amp;IF(OR(D651=0,D655="　"),"","、"&amp;_xlfn.IFS(MID(D653,1,3)="防食Ⅱ","HDZT77めっき",MID(D653,5,2)="塩害","ｱﾙﾐﾅｲｽﾞ処理",MID(D653,5,2)="酸性","重防食処理"))</f>
        <v>PLP5-3、SS400相当、HDZT77めっき</v>
      </c>
      <c r="I658" s="52" t="str">
        <f>IF(OR(D651=0,D655="　"),"","n=1")</f>
        <v>n=1</v>
      </c>
      <c r="J658" s="16" t="str">
        <f>IF(OR(D651=0,D655="　"),"","枚")</f>
        <v>枚</v>
      </c>
      <c r="K658" s="32">
        <f>IF(OR(D651=0,D655="　"),"",1)</f>
        <v>1</v>
      </c>
      <c r="L658" s="68">
        <f>IFERROR(D654*K658,"")</f>
        <v>10</v>
      </c>
    </row>
    <row r="659" spans="2:12" ht="11.1" customHeight="1">
      <c r="B659" s="37" t="str" cm="1">
        <f t="array" ref="B659">"頭部自由長"&amp;_xlfn.IFS(MID(D657,1,2)="なし","",MID(D657,1,3)="受圧体","(受圧体)",MID(D657,1,3)="のり面","(角度台座＋受圧体)",MID(D657,1,3)="構造物","(壁面台座)",MID(D657,1,3)="土留め","(台座+腹起し)",MID(D657,1,3)="個別台","(個別台座+腹起し)")&amp;"　Lfh"</f>
        <v>頭部自由長(角度台座＋受圧体)　Lfh</v>
      </c>
      <c r="C659" s="9" t="s">
        <v>10</v>
      </c>
      <c r="D659" s="75">
        <v>0.5</v>
      </c>
      <c r="F659" s="24">
        <v>9</v>
      </c>
      <c r="G659" s="17" t="str">
        <f>IF(OR(D651=0,D655="　",1*MID(D658,1,2)=1,1*MID(D658,1,2)&gt;=5),"","止水ゴム")</f>
        <v>止水ゴム</v>
      </c>
      <c r="H659" s="29" t="str">
        <f>IF(OR(D651=0,D655="　",1*MID(D658,1,2)=1,1*MID(D658,1,2)&gt;=5),"","G"&amp;MID(D655,4,4)&amp;"、NBR45相当")</f>
        <v>G5-3H、NBR45相当</v>
      </c>
      <c r="I659" s="52" t="str">
        <f>IF(OR(D651=0,D655="　",1*MID(D658,1,2)=1,1*MID(D658,1,2)&gt;=5),"","n=1")</f>
        <v>n=1</v>
      </c>
      <c r="J659" s="16" t="str">
        <f>IF(OR(D651=0,D655="　",1*MID(D658,1,2)=1,1*MID(D658,1,2)&gt;=5),"","個")</f>
        <v>個</v>
      </c>
      <c r="K659" s="32">
        <f>IF(OR(D651=0,D655="　",1*MID(D658,1,2)=1,1*MID(D658,1,2)&gt;=5),"",1)</f>
        <v>1</v>
      </c>
      <c r="L659" s="68">
        <f>IFERROR(D654*K659,"")</f>
        <v>10</v>
      </c>
    </row>
    <row r="660" spans="2:12" ht="11.1" customHeight="1">
      <c r="B660" s="31" t="s">
        <v>11</v>
      </c>
      <c r="C660" s="10" t="s">
        <v>10</v>
      </c>
      <c r="D660" s="75">
        <v>8.5</v>
      </c>
      <c r="F660" s="24">
        <v>10</v>
      </c>
      <c r="G660" s="17" t="str" cm="1">
        <f t="array" ref="G660">IF(OR(D651=0,D655="　",1*MID(D658,1,2)=1,1*MID(D658,1,2)&gt;=5),"",_xlfn.IFS(MID(D656,1,3)="ｱﾙﾐ","頭部防錆油",MID(D656,1,3)&lt;&gt;"ｱﾙﾐ","余長キャップ"))</f>
        <v>余長キャップ</v>
      </c>
      <c r="H660" s="29" t="str" cm="1">
        <f t="array" ref="H660">_xlfn.IFS(OR(D651=0,D655="　",1*MID(D658,1,2)=1,1*MID(D658,1,2)&gt;=5),"",MID(D656,1,3)="ｱﾙﾐ","PCコートC",MID(D656,1,3)&lt;&gt;"ｱﾙﾐ","TC"&amp;MID(D655,4,1)&amp;"、高密度ポリエチレン")</f>
        <v>TC5、高密度ポリエチレン</v>
      </c>
      <c r="I660" s="52" t="str" cm="1">
        <f t="array" ref="I660">_xlfn.IFS(OR(D651=0,D655="　",1*MID(D658,1,2)=1,1*MID(D658,1,2)&gt;=5),"",MID(D656,1,3)="ｱﾙﾐ","W="&amp;IF(MID(D655,4,1)="5",_xlfn.SWITCH(1*MID(LEFT(D655, LEN(D655)-1),6,2),1,1.9,2,1.3,3,1.3,4,1.3,5,1.6,6,1.6,7,1.6,8,3.1,9,3.1,10,3.1,11,3.1,12,3.1),"G6"&amp;_xlfn.SWITCH(1*MID(LEFT(D655, LEN(D655)-1),6,2),1,1.8,2,1.3,3,1.8,4,1.8,5,3.3,6,3.3,7,3.3,8,9.9,9,9.9,10,9.9,11,9.9,12,9.9,13,9.9,14,9.9)),MID(D656,1,3)&lt;&gt;"ｱﾙﾐ","n=1")</f>
        <v>n=1</v>
      </c>
      <c r="J660" s="16" t="str" cm="1">
        <f t="array" ref="J660">_xlfn.IFS(OR(D651=0,D655="　",1*MID(D658,1,2)=1,1*MID(D658,1,2)&gt;=5),"",MID(D656,1,3)="ｱﾙﾐ","kg",MID(D656,1,3)&lt;&gt;"ｱﾙﾐ","式")</f>
        <v>式</v>
      </c>
      <c r="K660" s="80" cm="1">
        <f t="array" ref="K660">_xlfn.IFS(OR(D651=0,D655="　",1*MID(D658,1,2)=1,1*MID(D658,1,2)&gt;=5),"",MID(D656,1,3)="ｱﾙﾐ",_xlfn.SWITCH(MID(D655,4,1),"5",_xlfn.SWITCH(1*MID(D655,6,FIND("H",D655,6)-6),1,1.9,2,1.3,3,1.3,4,1.3,5,1.6,6,1.6,7,1.6,8,3.1,9,3.1,10,3.1,11,3.1,12,3.1),"6",_xlfn.SWITCH(1*MID(D655,6,FIND("H",D655,6)-6),1,1.8,2,1.3,3,1.8,4,1.8,5,3.3,6,3.3,7,3.3,8,9.9,9,9.9,10,9.9,11,9.9,12,9.9,13,9.9,14,9.9)),MID(D656,1,3)&lt;&gt;"ｱﾙﾐ",1)</f>
        <v>1</v>
      </c>
      <c r="L660" s="68">
        <f>IFERROR(D654*K660,"")</f>
        <v>10</v>
      </c>
    </row>
    <row r="661" spans="2:12" ht="11.1" customHeight="1">
      <c r="B661" s="39" t="s">
        <v>18</v>
      </c>
      <c r="C661" s="40" t="s">
        <v>10</v>
      </c>
      <c r="D661" s="75">
        <v>7</v>
      </c>
      <c r="F661" s="24">
        <v>11</v>
      </c>
      <c r="G661" s="17" t="str">
        <f>IF(OR(D651=0,D655="　",1*MID(D658,1,2)=1,1*MID(D658,1,2)&gt;=5),"","配列スペーサ")</f>
        <v>配列スペーサ</v>
      </c>
      <c r="H661" s="29" t="str">
        <f>IF(OR(D651=0,D655="　",1*MID(D658,1,2)=1,1*MID(D658,1,2)&gt;=5),"",IF(MID(D655,4,1)="5","PS5-"&amp;_xlfn.SWITCH(1*MID(D655,6,FIND("H",D655,6)-6),1,"7",2,"2",3,"3",4,"4",5,"7",6,"7",7,"7",8,"12",9,"12",10,"12",11,"12",12,"12"),"PS6-"&amp;_xlfn.SWITCH(1*MID(D655,6,FIND("H",D655,6)-6),1,"7",2,"2",3,"3",4,"4",5,"7",6,"7",7,"7",8,"12",9,"12",10,"12",11,"12",12,"12",13,"14",14,"14",15,"19",16,"19",17,"19",18,"19",19,"19"))&amp;"、ポリエチレン")</f>
        <v>PS5-3、ポリエチレン</v>
      </c>
      <c r="I661" s="52" t="str">
        <f>IF(OR(D651=0,D655="　",1*MID(D658,1,2)=1,1*MID(D658,1,2)&gt;=5),"","n=2")</f>
        <v>n=2</v>
      </c>
      <c r="J661" s="16" t="str">
        <f>IF(OR(D651=0,D655="　",1*MID(D658,1,2)=1,1*MID(D658,1,2)&gt;=5),"","個")</f>
        <v>個</v>
      </c>
      <c r="K661" s="32">
        <f>IF(OR(D651=0,D655="　",1*MID(D658,1,2)=1,1*MID(D658,1,2)&gt;=5),"",2)</f>
        <v>2</v>
      </c>
      <c r="L661" s="68">
        <f>IFERROR(D654*K661,"")</f>
        <v>20</v>
      </c>
    </row>
    <row r="662" spans="2:12" ht="11.1" customHeight="1">
      <c r="B662" s="36" t="s">
        <v>17</v>
      </c>
      <c r="C662" s="11" t="s">
        <v>16</v>
      </c>
      <c r="D662" s="54">
        <v>90</v>
      </c>
      <c r="F662" s="24">
        <v>12</v>
      </c>
      <c r="G662" s="17" t="str">
        <f>IF(OR(D651=0,D655="　"),"","スペーサ")</f>
        <v>スペーサ</v>
      </c>
      <c r="H662" s="29" t="str" cm="1">
        <f t="array" ref="H662">IF(OR(D651=0,D655="　"),"",IF(MID(D655,4,1)="5","S5-"&amp;_xlfn.IFS(1*MID(D655,6,FIND("H",D655,6)-6)&lt;6,"5",1*MID(D655,6,FIND("H",D655,6)-6)&lt;9,"8",1*MID(D655,6,FIND("H",D655,6)-6)&gt;8,"12"),"S6-"&amp;_xlfn.IFS(1*MID(D655,6,FIND("H",D655,6)-6)&lt;4,"3",1*MID(D655,6,FIND("H",D655,6)-6)&lt;7,"6",1*MID(D655,6,FIND("H",D655,6)-6)&lt;10,"9",1*MID(D655,6,FIND("H",D655,6)-6)&lt;13,"12",1*MID(D655,6,FIND("H",D655,6)-6)&lt;15,"14",1*MID(D655,6,FIND("H",D655,6)-6)&lt;20,"19"))&amp;"、ポリプロピレン")</f>
        <v>S5-5、ポリプロピレン</v>
      </c>
      <c r="I662" s="58" t="str">
        <f>IF(OR(D651=0,D655="　"),"","n=mround(アンカー体長－0.4)÷@1.0m, 1.0)")</f>
        <v>n=mround(アンカー体長－0.4)÷@1.0m, 1.0)</v>
      </c>
      <c r="J662" s="16" t="str">
        <f>IF(OR(D651=0,D655="　"),"","個")</f>
        <v>個</v>
      </c>
      <c r="K662" s="38">
        <f>IF(OR(D651=0,D655="　"),"",MROUND((D661-0.4)/1,1))</f>
        <v>7</v>
      </c>
      <c r="L662" s="67">
        <f>IFERROR(D654*K662,"")</f>
        <v>70</v>
      </c>
    </row>
    <row r="663" spans="2:12" ht="11.1" customHeight="1">
      <c r="B663" s="41" t="s">
        <v>37</v>
      </c>
      <c r="C663" s="5" t="s">
        <v>16</v>
      </c>
      <c r="D663" s="66" cm="1">
        <f t="array" ref="D663">IF(OR(D651=0,D655="　"),"",_xlfn.SWITCH(1*MID(D658,1,2),0,_xlfn.SWITCH(1*MID(D655,4,1),5,_xlfn.SWITCH(1*MID(LEFT(D655, LEN(D655)-1),6,2),1,90,2,90,3,90,4,90,5,90,6,115,7,115,8,115,9,135,10,135,11,135,12,135),6,_xlfn.SWITCH(1*MID(LEFT(D655, LEN(D655)-1),6,2),1,90,2,90,3,90,4,115,5,115,6,115,7,135,8,135,9,135,10,146,11,146,12,146,13,165,14,165)),1,_xlfn.SWITCH(1*MID(D655,4,1),5,_xlfn.SWITCH(1*MID(LEFT(D655, LEN(D655)-1),6,2),1,90,2,90,3,90,4,90,5,115,6,115,7,135,8,135,9,135,10,135,11,165,12,165),6,_xlfn.SWITCH(1*MID(LEFT(D655, LEN(D655)-1),6,2),1,90,2,90,3,115,4,115,5,135,6,135,7,135,8,135,9,135,10,165,11,165,12,165,13,165,14,165)),2,_xlfn.SWITCH(1*MID(D655,4,1),5,_xlfn.SWITCH(1*MID(LEFT(D655, LEN(D655)-1),6,2),1,90,2,90,3,115,4,115,5,115,6,115,7,135,8,135,9,146,10,146,11,146,12,146),6,_xlfn.SWITCH(1*MID(LEFT(D655, LEN(D655)-1),6,2),1,90,2,90,3,115,4,115,5,135,6,135,7,146,8,146,9,146,10,165,11,165,12,165,13,216,14,216)),3,_xlfn.SWITCH(1*MID(D655,4,1),5,_xlfn.SWITCH(1*MID(LEFT(D655, LEN(D655)-1),6,2),1,115,2,115,3,115,4,115,5,115,6,135,7,135,8,135,9,146,10,146,11,146,12,146),6,_xlfn.SWITCH(1*MID(LEFT(D655, LEN(D655)-1),6,2),1,115,2,115,3,115,4,135,5,135,6,135,7,146,8,146,9,146,10,165,11,165,12,165,13,216,14,216)),4,_xlfn.SWITCH(1*MID(D655,4,1),5,_xlfn.SWITCH(1*MID(LEFT(D655, LEN(D655)-1),6,2),1,115,2,115,3,115,4,115,5,115,6,135,7,135,8,135,9,146,10,146,11,146,12,146),6,_xlfn.SWITCH(1*MID(LEFT(D655, LEN(D655)-1),6,2),1,115,2,115,3,115,4,135,5,135,6,135,7,146,8,146,9,146,10,165,11,165,12,165,13,216,14,216)),5,_xlfn.SWITCH(1*MID(D655,4,1),5,_xlfn.SWITCH(1*MID(LEFT(D655, LEN(D655)-1),6,2),1,90,2,90,3,115,4,115,5,115,6,115,7,135,8,135,9,165,10,165,11,165,12,165),6,_xlfn.SWITCH(1*MID(LEFT(D655, LEN(D655)-1),6,2),1,90,2,90,3,115,4,115,5,135,6,135,7,165,8,165,9,165,10,165,11,165,12,165,13,216,14,216)),6,_xlfn.SWITCH(1*MID(D655,4,1),5,_xlfn.SWITCH(1*MID(LEFT(D655, LEN(D655)-1),6,2),1,115,2,115,3,115,4,115,5,115,6,135,7,135,8,135,9,165,10,165,11,165,12,165),6,_xlfn.SWITCH(1*MID(LEFT(D655, LEN(D655)-1),6,2),1,115,2,115,3,115,4,135,5,135,6,135,7,165,8,165,9,165,10,165,11,165,12,165,13,216,14,216)),7,_xlfn.SWITCH(1*MID(D655,4,1),5,_xlfn.SWITCH(1*MID(LEFT(D655, LEN(D655)-1),6,2),1,115,2,115,3,115,4,115,5,115,6,135,7,135,8,135,9,165,10,165,11,165,12,165),6,_xlfn.SWITCH(1*MID(LEFT(D655, LEN(D655)-1),6,2),1,115,2,115,3,115,4,135,5,135,6,135,7,165,8,165,9,165,10,165,11,165,12,165,13,216,14,216))))</f>
        <v>90</v>
      </c>
      <c r="F663" s="24">
        <v>13</v>
      </c>
      <c r="G663" s="17" t="str">
        <f>IF(OR(D651=0,D655="　"),"","ﾊﾟｲﾛｯﾄｷｬｯﾌﾟ")</f>
        <v>ﾊﾟｲﾛｯﾄｷｬｯﾌﾟ</v>
      </c>
      <c r="H663" s="29" t="str" cm="1">
        <f t="array" ref="H663">IF(OR(D651=0,D655="　"),"",IF(MID(D655,4,1)="5","PC5-"&amp;_xlfn.IFS(1*MID(D655,6,FIND("H",D655,6)-6)&lt;5,"4",1*MID(D655,6,FIND("H",D655,6)-6)&lt;8,"7",1*MID(D655,6,FIND("H",D655,6)-6)&lt;10,"9",1*MID(D655,6,FIND("H",D655,6)-6)&gt;9,"12"),"PC6-"&amp;_xlfn.IFS(1*MID(D655,6,FIND("H",D655,6)-6)&lt;4,"3",1*MID(D655,6,FIND("H",D655,6)-6)&lt;8,"7",1*MID(D655,6,FIND("H",D655,6)-6)&lt;13,"12",1*MID(D655,6,FIND("H",D655,6)-6)&lt;15,"14",1*MID(D655,6,FIND("H",D655,6)-6)&lt;20,"19"))&amp;"、ポリプロピレン")</f>
        <v>PC5-4、ポリプロピレン</v>
      </c>
      <c r="I663" s="52" t="str">
        <f>IF(OR(D651=0,D655="　"),"","n=1")</f>
        <v>n=1</v>
      </c>
      <c r="J663" s="16" t="str">
        <f>IF(OR(D651=0,D655="　"),"","個")</f>
        <v>個</v>
      </c>
      <c r="K663" s="32">
        <f>IF(OR(D651=0,D655="　"),"",1)</f>
        <v>1</v>
      </c>
      <c r="L663" s="68">
        <f>IFERROR(D654*K663,"")</f>
        <v>10</v>
      </c>
    </row>
    <row r="664" spans="2:12" ht="11.1" customHeight="1">
      <c r="B664" s="43" t="s">
        <v>30</v>
      </c>
      <c r="C664" s="44" t="s">
        <v>31</v>
      </c>
      <c r="D664" s="59" t="str">
        <f>IF(OR(D651=0,D655="　"),"",IF(D662=D663,"OK","CHECK"))</f>
        <v>OK</v>
      </c>
      <c r="F664" s="24">
        <v>14</v>
      </c>
      <c r="G664" s="17" t="str">
        <f>IF(OR(D651=0,D655="　"),"","結束バンド")</f>
        <v>結束バンド</v>
      </c>
      <c r="H664" s="29" t="str">
        <f>IF(OR(D651=0,D655="　"),"","66ナイロン")</f>
        <v>66ナイロン</v>
      </c>
      <c r="I664" s="58" t="str">
        <f>IF(OR(D651=0,D655="　"),"","n=スペーサ数×2")</f>
        <v>n=スペーサ数×2</v>
      </c>
      <c r="J664" s="16" t="str">
        <f>IF(OR(D651=0,D655="　"),"","本")</f>
        <v>本</v>
      </c>
      <c r="K664" s="38">
        <f>IF(OR(D651=0,D655="　"),"",2*K662)</f>
        <v>14</v>
      </c>
      <c r="L664" s="67">
        <f>IFERROR(D654*K664,"")</f>
        <v>140</v>
      </c>
    </row>
    <row r="665" spans="2:12" ht="11.1" customHeight="1">
      <c r="B665" s="45" t="s">
        <v>12</v>
      </c>
      <c r="C665" s="9" t="s">
        <v>10</v>
      </c>
      <c r="D665" s="60">
        <f>IF(OR(D651=0,D655="　"),"──",SUM(D659:D660))</f>
        <v>9</v>
      </c>
      <c r="F665" s="24">
        <v>15</v>
      </c>
      <c r="G665" s="17" t="str">
        <f>IF(OR(D651=0,D655="　"),"","結束テープ")</f>
        <v>結束テープ</v>
      </c>
      <c r="H665" s="29" t="str">
        <f>IF(OR(D651=0,D655="　"),"","フィラメントテープ")</f>
        <v>フィラメントテープ</v>
      </c>
      <c r="I665" s="58" t="str">
        <f>IF(OR(D651=0,D655="　"),"","L=(自由長+緊張部長)÷@1.0m×テープ係数"&amp;IF(MID(D655,4,1)="5",_xlfn.IFS(1*MID(LEFT(D655, LEN(D655)-1),6,2)&lt;4,"0.8",1*MID(LEFT(D655, LEN(D655)-1),6,2)&lt;7,"1.0",1*MID(LEFT(D655, LEN(D655)-1),6,2)&lt;10,"1.2",1*MID(LEFT(D655, LEN(D655)-1),6,2)&lt;13,"1.4"),_xlfn.IFS(1*MID(LEFT(D655, LEN(D655)-1),6,2)&lt;4,"1.0",1*MID(LEFT(D655, LEN(D655)-1),6,2)&lt;7,"1.2",1*MID(LEFT(D655, LEN(D655)-1),6,2)&lt;10,"1.4",1*MID(LEFT(D655, LEN(D655)-1),6,2)&lt;15,"1.8")))</f>
        <v>L=(自由長+緊張部長)÷@1.0m×テープ係数0.8</v>
      </c>
      <c r="J665" s="16" t="str">
        <f>IF(OR(D651=0,D655="　"),"","m")</f>
        <v>m</v>
      </c>
      <c r="K665" s="42" cm="1">
        <f t="array" ref="K665">IF(OR(D651=0,D655="　"),"",MROUND((SUM(D665,D666))/1*IF(MID(D655,4,1)="5",_xlfn.SWITCH(1*MID(D655,6,FIND("H",D655,6)-6),1,0.8,2,0.8,3,0.8,4,1,5,1,6,1,7,1.2,8,1.2,9,1.2,10,1.4,11,1.4,12,1.4),_xlfn.SWITCH(1*MID(D655,6,FIND("H",D655,6)-6),1,1,2,1,3,1,4,1.2,5,1.2,6,1.2,7,1.4,8,1.4,9,1.4,10,1.8,11,1.8,12,1.8,13,1.8,14,1.8,15,2.5,16,2.5,17,2.5,18,2.5,19,2.5)),0.1))</f>
        <v>8</v>
      </c>
      <c r="L665" s="69">
        <f>IFERROR(D654*K665,"")</f>
        <v>80</v>
      </c>
    </row>
    <row r="666" spans="2:12" ht="11.1" customHeight="1">
      <c r="B666" s="47" t="s">
        <v>13</v>
      </c>
      <c r="C666" s="10" t="s">
        <v>10</v>
      </c>
      <c r="D666" s="61" cm="1">
        <f t="array" ref="D666">IF(OR(D651=0,D655="　"),"──",IF(MID(D655,4,1)="5",_xlfn.IFS(1*MID(LEFT(D655,LEN(D655)-1),6,2)&lt;8,1,1*MID(LEFT(D655,LEN(D655)-1),6,2)&lt;13,1.2),_xlfn.IFS(1*MID(LEFT(D655,LEN(D655)-1),6,2)&lt;6,1,1*MID(LEFT(D655,LEN(D655)-1),6,2)&lt;15,1.2)))</f>
        <v>1</v>
      </c>
      <c r="F666" s="24">
        <v>16</v>
      </c>
      <c r="G666" s="17" t="str">
        <f>IF(OR(D651=0,D655="　",1*MID(D658,1,2)=1,1*MID(D658,1,2)=5),"","注入ホース")</f>
        <v>注入ホース</v>
      </c>
      <c r="H666" s="29" t="str">
        <f>IF(OR(D651=0,D655="　",1*MID(D658,1,2)=1,1*MID(D658,1,2)=5),"","φ16/20、高密度ポリエチレン")</f>
        <v>φ16/20、高密度ポリエチレン</v>
      </c>
      <c r="I666" s="46" t="str">
        <f>IF(OR(D651=0,D655="　",1*MID(D658,1,2)=1,1*MID(D658,1,2)=5),"","L=テンドン長")</f>
        <v>L=テンドン長</v>
      </c>
      <c r="J666" s="16" t="str">
        <f>IF(OR(D651=0,D655="　",1*MID(D658,1,2)=1,1*MID(D658,1,2)=5),"","m")</f>
        <v>m</v>
      </c>
      <c r="K666" s="30">
        <f>IF(OR(D651=0,D655="　",1*MID(D658,1,2)=1,1*MID(D658,1,2)=5),"",MROUND(D668,0.1))</f>
        <v>17.2</v>
      </c>
      <c r="L666" s="67">
        <f>IFERROR(D654*K666,"")</f>
        <v>172</v>
      </c>
    </row>
    <row r="667" spans="2:12" ht="11.1" customHeight="1">
      <c r="B667" s="48" t="s">
        <v>19</v>
      </c>
      <c r="C667" s="10" t="s">
        <v>14</v>
      </c>
      <c r="D667" s="62">
        <f>IF(OR(D651=0,D655="　"),"──",0.2)</f>
        <v>0.2</v>
      </c>
      <c r="F667" s="24">
        <v>17</v>
      </c>
      <c r="G667" s="17" t="str" cm="1">
        <f t="array" ref="G667">_xlfn.IFS(OR(D651=0,D655="　",MID(D657,1,2)="なし",MID(D657,1,3)="受圧体",1*MID(D658,1,2)=1,1*MID(D658,1,2)&gt;=5),"",MID(D657,1,3)="のり面","のり面角度台座",MID(D657,1,3)="構造物","構造物壁面台座",MID(D657,1,3)="土留め","土留め台座",MID(D657,1,3)="個別台","個別台座")</f>
        <v>のり面角度台座</v>
      </c>
      <c r="H667" s="46" t="str" cm="1">
        <f t="array" ref="H667">IF(OR(D651=0,D655="　",G667=""),"",_xlfn.IFS(MID(D657,1,3)="のり面",IF(1*MID(D655,4,1)=5,_xlfn.IFS(1*MID(D655,6,FIND("H",D655,6)-6)&lt;5,"ST140",1*MID(D655,6,FIND("H",D655,6)-6)&lt;8,"ST170",1*MID(D655,6,FIND("H",D655,6)-6)&lt;13,"ST220"),_xlfn.IFS(1*MID(D655,6,FIND("H",D655,6)-6)&lt;4,"ST140",1*MID(D655,6,FIND("H",D655,6)-6)&lt;5,"ST170",1*MID(D655,6,FIND("H",D655,6)-6)&lt;8,"ST220",1*MID(D655,6,FIND("H",D655,6)-6)&lt;20,"非該当"))&amp;"、FCD450相当",OR(MID(D657,1,3)="構造物",MID(D657,1,3)="土留め",MID(D657,1,3)="個別台"),D655&amp;"用"&amp;_xlfn.IFS(MID(D657,1,3)="構造物","",MID(D657,1,3)="土留め",IF(1*MID(D655,4,1)=5,_xlfn.SWITCH(1*MID(D655,6,FIND("H",D655,6)-6),1,"DA110",2,"DA220",3,"DA330",4,"DA440",5,"DA550",6,"DA660",7,"DA770",8,"DA880",9,"DA990",10,"DA1100",11,"DA1210",12,"DA1320"),_xlfn.SWITCH(1*MID(D655,6,FIND("H",D655,6)-6),1,"DA220",2,"DA330",3,"DA550",4,"DA660",5,"DA880",6,"DA990",7,"DA1100",8,"DA1320",9,"DA1410",10,"DA1570",11,"DA1730",12,"DA1880",13,"DA2040",14,"DA2200")),MID(D657,1,3)="個別台",D670)))&amp;IF(OR(D651=0,D655="　",G667=""),"","、"&amp;_xlfn.IFS(MID(D653,1,3)="防食Ⅱ","HDZT77めっき",MID(D653,5,2)="塩害","ｱﾙﾐﾅｲｽﾞ処理",MID(D653,5,2)="酸性","重防食処理"))</f>
        <v>ST140、FCD450相当、HDZT77めっき</v>
      </c>
      <c r="I667" s="52" t="str">
        <f>IF(OR(D651=0,D655="　",G667=""),"","n=1")</f>
        <v>n=1</v>
      </c>
      <c r="J667" s="16" t="str">
        <f>IF(OR(D651=0,D655="　",G667=""),"","台")</f>
        <v>台</v>
      </c>
      <c r="K667" s="32">
        <f>IF(OR(D651=0,D655="　",G667=""),"",1)</f>
        <v>1</v>
      </c>
      <c r="L667" s="68">
        <f>IFERROR(D654*K667,"")</f>
        <v>10</v>
      </c>
    </row>
    <row r="668" spans="2:12" ht="11.1" customHeight="1">
      <c r="B668" s="50" t="s">
        <v>20</v>
      </c>
      <c r="C668" s="10" t="s">
        <v>10</v>
      </c>
      <c r="D668" s="63">
        <f>IF(OR(D651=0,D655="　"),"──",SUM(D661,D665:D667))</f>
        <v>17.2</v>
      </c>
      <c r="F668" s="24">
        <v>18</v>
      </c>
      <c r="G668" s="17" t="str">
        <f>IF(OR(D651=0,D655="　",MID(D657,1,3)&lt;&gt;"のり面",1*MID(D658,1,2)=1,1*MID(D658,1,2)&gt;=5),"","補剛板")</f>
        <v>補剛板</v>
      </c>
      <c r="H668" s="46" t="str" cm="1">
        <f t="array" ref="H668">IF(OR(D651=0,D655="　",G668=""),"",IF(MID(D655,4,1)="5","□"&amp;_xlfn.SWITCH(1*MID(D655,6,FIND("H",D655,6)-6),1,"210φ131t12",2,"210φ131t12",3,"240φ131t12",4,"270φ131t12",5,"280φ143t12",6,"310φ143t16",7,"350φ143t19",8,"350φ180t19",9,"350φ180t19",10,"350φ180t19",11,"350φ180t22",12,"350φ180t22"),"□"&amp;_xlfn.SWITCH(1*MID(D655,6,FIND("H",D655,6)-6),1,"210,φ131,t12",2,"240,φ131,t12",3,"270,φ131,t16",4,"300,φ143,t16",5,"350,φ180,t16",6,"350,φ180,t16",7,"350,φ180,t19",8,"400,φ──,t12",9,"400,φ──,t12",10,"400,φ──,t12",11,"400,φ──,t12",12,"400,φ──,t12",13,"400,φ──,t12",14,"400,φ──,t12",15,"400,φ──,t12",16,"400,φ──,t12",17,"400,φ──,t12",18,"400,φ──,t12",19,"400,φ──,t12"))&amp;"、SS400相当")&amp;IF(OR(D651=0,D655="　",G668=""),"","、"&amp;_xlfn.IFS(MID(D653,1,3)="防食Ⅱ","HDZT77めっき",MID(D653,5,2)="塩害","ｱﾙﾐﾅｲｽﾞ処理",MID(D653,5,2)="酸性","重防食処理"))</f>
        <v>□240φ131t12、SS400相当、HDZT77めっき</v>
      </c>
      <c r="I668" s="52" t="str">
        <f>IF(OR(D651=0,D655="　",G668=""),"","n=1")</f>
        <v>n=1</v>
      </c>
      <c r="J668" s="16" t="str">
        <f>IF(OR(D651=0,D655="　",G668=""),"","枚")</f>
        <v>枚</v>
      </c>
      <c r="K668" s="32">
        <f>IF(OR(D651=0,D655="　",G668=""),"",1)</f>
        <v>1</v>
      </c>
      <c r="L668" s="68">
        <f>IFERROR(D654*K668,"")</f>
        <v>10</v>
      </c>
    </row>
    <row r="669" spans="2:12" ht="11.1" customHeight="1">
      <c r="B669" s="51" t="s">
        <v>15</v>
      </c>
      <c r="C669" s="12" t="s">
        <v>10</v>
      </c>
      <c r="D669" s="64">
        <f>IF(OR(D651=0,D655="　"),"──",0.25)</f>
        <v>0.25</v>
      </c>
      <c r="F669" s="24">
        <v>19</v>
      </c>
      <c r="G669" s="17" t="str" cm="1">
        <f t="array" ref="G669">_xlfn.IFS(OR(D651=0,D655="　",MID(D656,1,3)="ｱﾙﾐ",1*MID(D658,1,2)=1,1*MID(D658,1,2)&gt;=5),"",MID(D656,1,3)&lt;&gt;"ｱﾙﾐ","テンドン補修用塗料")</f>
        <v>テンドン補修用塗料</v>
      </c>
      <c r="H669" s="38" t="str" cm="1">
        <f t="array" ref="H669">_xlfn.IFS(OR(D651=0,D655="　",MID(D656,1,3)="ｱﾙﾐ",1*MID(D658,1,2)=1,1*MID(D658,1,2)&gt;=5),"",MID(D656,1,3)&lt;&gt;"ｱﾙﾐ","エポキシ樹脂")</f>
        <v>エポキシ樹脂</v>
      </c>
      <c r="I669" s="52" t="str" cm="1">
        <f t="array" ref="I669">_xlfn.IFS(OR(D651=0,D655="　",MID(D656,1,3)="ｱﾙﾐ",1*MID(D658,1,2)=1,1*MID(D658,1,2)&gt;=5),"",MID(D656,1,3)&lt;&gt;"ｱﾙﾐ","W=PC鋼より線本数×"&amp;IF(MID(D655,4,1)="5","0.28","0.4"))</f>
        <v>W=PC鋼より線本数×0.28</v>
      </c>
      <c r="J669" s="16" t="str" cm="1">
        <f t="array" ref="J669">_xlfn.IFS(OR(D651=0,D655="　",MID(D656,1,3)="ｱﾙﾐ",1*MID(D658,1,2)=1,1*MID(D658,1,2)&gt;=5),"",MID(D656,1,3)&lt;&gt;"ｱﾙﾐ","g")</f>
        <v>g</v>
      </c>
      <c r="K669" s="77" cm="1">
        <f t="array" ref="K669">_xlfn.IFS(OR(D651=0,D655="　",MID(D656,1,3)="ｱﾙﾐ",1*MID(D658,1,2)=1,1*MID(D658,1,2)&gt;=5),"",MID(D656,1,3)&lt;&gt;"ｱﾙﾐ",MID(D655,6,FIND("H",D655,6)-6)*IF(MID(D655,4,1)="5",0.28,0.4))</f>
        <v>0.84000000000000008</v>
      </c>
      <c r="L669" s="78">
        <f>IFERROR(D654*K669,"")</f>
        <v>8.4</v>
      </c>
    </row>
    <row r="670" spans="2:12" ht="11.1" customHeight="1">
      <c r="B670" s="65" t="s">
        <v>32</v>
      </c>
      <c r="C670" s="3" t="s">
        <v>33</v>
      </c>
      <c r="D670" s="76"/>
      <c r="F670" s="24">
        <v>20</v>
      </c>
      <c r="G670" s="17" t="str" cm="1">
        <f t="array" ref="G670">_xlfn.IFS(OR(D651=0,D655="　",MID(D656,1,3)="ｱﾙﾐ",1*MID(D658,1,2)=1,1*MID(D658,1,2)&gt;=5),"",MID(D656,1,3)&lt;&gt;"ｱﾙﾐ","長期防錆スプレー")</f>
        <v>長期防錆スプレー</v>
      </c>
      <c r="H670" s="38" t="str" cm="1">
        <f t="array" ref="H670">_xlfn.IFS(OR(D651=0,D655="　",MID(D656,1,3)="ｱﾙﾐ",1*MID(D658,1,2)=1,1*MID(D658,1,2)&gt;=5),"",MID(D656,1,3)&lt;&gt;"ｱﾙﾐ","防錆オイル")</f>
        <v>防錆オイル</v>
      </c>
      <c r="I670" s="52" t="str" cm="1">
        <f t="array" ref="I670">_xlfn.IFS(OR(D651=0,D655="　",MID(D656,1,3)="ｱﾙﾐ",1*MID(D658,1,2)=1,1*MID(D658,1,2)&gt;=5),"",MID(D656,1,3)&lt;&gt;"ｱﾙﾐ","n=0.01×(PC鋼より線本数+"&amp;IF(MID(D655,4,1)="5","6","12")&amp;")")</f>
        <v>n=0.01×(PC鋼より線本数+6)</v>
      </c>
      <c r="J670" s="16" t="str" cm="1">
        <f t="array" ref="J670">_xlfn.IFS(OR(D651=0,D655="　",MID(D656,1,3)="ｱﾙﾐ",1*MID(D658,1,2)=1,1*MID(D658,1,2)&gt;=5),"",MID(D656,1,3)&lt;&gt;"ｱﾙﾐ","缶")</f>
        <v>缶</v>
      </c>
      <c r="K670" s="77" cm="1">
        <f t="array" ref="K670">_xlfn.IFS(OR(D651=0,D655="　",MID(D656,1,3)="ｱﾙﾐ",1*MID(D658,1,2)=1,1*MID(D658,1,2)&gt;=5),"",MID(D656,1,3)&lt;&gt;"ｱﾙﾐ",0.01*(IF(MID(D655,4,1)="5",6,12)+MID(LEFT(D655,LEN(D655)-1),6,2)))</f>
        <v>0.09</v>
      </c>
      <c r="L670" s="78">
        <f>IFERROR(D654*K670,"")</f>
        <v>0.89999999999999991</v>
      </c>
    </row>
    <row r="671" spans="2:12" ht="11.1" customHeight="1">
      <c r="F671" s="24">
        <v>21</v>
      </c>
      <c r="G671" s="17" t="str">
        <f>IF(OR(D651=0,D655="　",1*MID(D658,1,2)&lt;=1,1*MID(D658,1,2)=3,,1*MID(D658,1,2)=6),"","ﾌﾘｰﾊﾟｯｶｰ注入ﾎｰｽ")</f>
        <v/>
      </c>
      <c r="H671" s="29" t="str">
        <f>IF(OR(D651=0,D655="　",1*MID(D658,1,2)&lt;=1,1*MID(D658,1,2)=3,,1*MID(D658,1,2)=6),"","φ16/20、ポリエチレン")</f>
        <v/>
      </c>
      <c r="I671" s="29" t="str">
        <f>IF(OR(D651=0,D655="　",1*MID(D658,1,2)&lt;=1,1*MID(D658,1,2)=3,,1*MID(D658,1,2)=6),"","L=自由長+緊張部長")</f>
        <v/>
      </c>
      <c r="J671" s="16" t="str">
        <f>IF(OR(D651=0,D655="　",1*MID(D658,1,2)&lt;=1,1*MID(D658,1,2)=3,,1*MID(D658,1,2)=6),"","m")</f>
        <v/>
      </c>
      <c r="K671" s="30" t="str">
        <f>IF(OR(D651=0,D655="　",1*MID(D658,1,2)&lt;=1,1*MID(D658,1,2)=3,,1*MID(D658,1,2)=6),"",D665+D666)</f>
        <v/>
      </c>
      <c r="L671" s="67" t="str">
        <f>IFERROR(D654*K671,"")</f>
        <v/>
      </c>
    </row>
    <row r="672" spans="2:12" ht="11.1" customHeight="1">
      <c r="F672" s="24">
        <v>22</v>
      </c>
      <c r="G672" s="17" t="str">
        <f>IF(OR(D651=0,D655="　",1*MID(D658,1,2)&lt;=1,1*MID(D658,1,2)=3,,1*MID(D658,1,2)=6),"","フリーパッカー")</f>
        <v/>
      </c>
      <c r="H672" s="52" t="str" cm="1">
        <f t="array" ref="H672">IF(OR(D651=0,D655="　",1*MID(D658,1,2)&lt;=1,1*MID(D658,1,2)=3,1*MID(D658,1,2)=6),"",_xlfn.SWITCH(D662,90,"PA-170",115,"PA-200",135,"PA-240",146,"PA-290",165,"PA-350",216,"PA-420")&amp;"、織布")</f>
        <v/>
      </c>
      <c r="I672" s="52" t="str">
        <f>IF(OR(D651=0,D655="　",1*MID(D658,1,2)&lt;=1,1*MID(D658,1,2)=3,1*MID(D658,1,2)=6),"","L=自由長+0.5")</f>
        <v/>
      </c>
      <c r="J672" s="16" t="str">
        <f>IF(OR(D651=0,D655="　",1*MID(D658,1,2)&lt;=1,1*MID(D658,1,2)=3,,1*MID(D658,1,2)=6),"","m")</f>
        <v/>
      </c>
      <c r="K672" s="30" t="str">
        <f>IF(OR(D651=0,D655="　",1*MID(D658,1,2)&lt;=1,1*MID(D658,1,2)=3,,1*MID(D658,1,2)=6),"",D665+0.5)</f>
        <v/>
      </c>
      <c r="L672" s="69" t="str">
        <f>IFERROR(D654*K672,"")</f>
        <v/>
      </c>
    </row>
    <row r="673" spans="4:12" ht="11.1" customHeight="1">
      <c r="F673" s="24">
        <v>23</v>
      </c>
      <c r="G673" s="17" t="str">
        <f>IF(OR(D651=0,D655="　",1*MID(D658,1,2)&lt;=1,1*MID(D658,1,2)=3,,1*MID(D658,1,2)=6),"","ﾌﾘｰﾊﾟｯｶｰ取付加工")</f>
        <v/>
      </c>
      <c r="H673" s="29" t="str">
        <f>IF(OR(D651=0,D655="　",1*MID(D658,1,2)&lt;=1,1*MID(D658,1,2)=3,,1*MID(D658,1,2)=6),"","材工")</f>
        <v/>
      </c>
      <c r="I673" s="29" t="str">
        <f>IF(OR(D651=0,D655="　",1*MID(D658,1,2)&lt;=1,1*MID(D658,1,2)=3,,1*MID(D658,1,2)=6),"","n=1")</f>
        <v/>
      </c>
      <c r="J673" s="16" t="str">
        <f>IF(OR(D651=0,D655="　",1*MID(D658,1,2)&lt;=1,1*MID(D658,1,2)=3,,1*MID(D658,1,2)=6),"","式")</f>
        <v/>
      </c>
      <c r="K673" s="32" t="str">
        <f>IF(OR(D651=0,D655="　",1*MID(D658,1,2)&lt;=1,1*MID(D658,1,2)=3,,1*MID(D658,1,2)=6),"",1)</f>
        <v/>
      </c>
      <c r="L673" s="70" t="str">
        <f>IFERROR(D654*K673,"")</f>
        <v/>
      </c>
    </row>
    <row r="674" spans="4:12" ht="11.1" customHeight="1">
      <c r="F674" s="24">
        <v>24</v>
      </c>
      <c r="G674" s="17" t="str">
        <f>IF(OR(D651=0,D655="　",1*MID(D658,1,2)&lt;=2,1*MID(D658,1,2)=5),"","フリクションパッカー")</f>
        <v/>
      </c>
      <c r="H674" s="38" t="str" cm="1">
        <f t="array" ref="H674">IF(OR(D651=0,D655="　",1*MID(D658,1,2)&lt;=2,1*MID(D658,1,2)=5),"",_xlfn.SWITCH(D662,90,"FP125",115,"FP125",135,"FP150",146,"FP175",165,"FP200",216,"FP235")&amp;"、パイレン布")</f>
        <v/>
      </c>
      <c r="I674" s="38" t="str">
        <f>IF(OR(D651=0,D655="　",1*MID(D658,1,2)&lt;=2,1*MID(D658,1,2)=5),"","L=アンカー体長+0.5")</f>
        <v/>
      </c>
      <c r="J674" s="16" t="str">
        <f>IF(OR(D651=0,D655="　",1*MID(D658,1,2)&lt;=2,1*MID(D658,1,2)=5),"","m")</f>
        <v/>
      </c>
      <c r="K674" s="30" t="str">
        <f>IF(OR(D651=0,D655="　",1*MID(D658,1,2)&lt;=2,1*MID(D658,1,2)=5),"",D661+0.5)</f>
        <v/>
      </c>
      <c r="L674" s="68" t="str">
        <f>IFERROR(D654*K674,"")</f>
        <v/>
      </c>
    </row>
    <row r="675" spans="4:12" ht="11.1" customHeight="1">
      <c r="F675" s="24">
        <v>25</v>
      </c>
      <c r="G675" s="17" t="str">
        <f>IF(OR(D651=0,D655="　",1*MID(D658,1,2)&lt;=2,1*MID(D658,1,2)=5),"","ﾌﾘｸｼｮﾝﾊﾟｯｶｰ取付加工")</f>
        <v/>
      </c>
      <c r="H675" s="29" t="str">
        <f>IF(OR(D651=0,D655="　",1*MID(D658,1,2)&lt;=2,1*MID(D658,1,2)=5),"","材工")</f>
        <v/>
      </c>
      <c r="I675" s="29" t="str">
        <f>IF(OR(D651=0,D655="　",1*MID(D658,1,2)&lt;=2,1*MID(D658,1,2)=5),"","n=1")</f>
        <v/>
      </c>
      <c r="J675" s="16" t="str">
        <f>IF(OR(D651=0,D655="　",1*MID(D658,1,2)&lt;=2,1*MID(D658,1,2)=5),"","式")</f>
        <v/>
      </c>
      <c r="K675" s="32" t="str">
        <f>IF(OR(D651=0,D655="　",1*MID(D658,1,2)&lt;=2,1*MID(D658,1,2)=5),"",1)</f>
        <v/>
      </c>
      <c r="L675" s="70" t="str">
        <f>IFERROR(D654*K675,"")</f>
        <v/>
      </c>
    </row>
    <row r="676" spans="4:12" ht="11.1" customHeight="1">
      <c r="F676" s="24">
        <v>26</v>
      </c>
      <c r="G676" s="17" t="str">
        <f>IF(OR(D651=0,D655="　",1*MID(D658,1,2)=0,1*MID(D658,1,2)=2,1*MID(D658,1,2)=3,1*MID(D658,1,2)=4),"","試験ﾊﾟｯｶｰ水注入ﾎｰｽ")</f>
        <v/>
      </c>
      <c r="H676" s="38" t="str">
        <f>IF(OR(D651=0,D655="　",1*MID(D658,1,2)=0,1*MID(D658,1,2)=2,1*MID(D658,1,2)=3,1*MID(D658,1,2)=4),"","φ4/6、ナイロン")</f>
        <v/>
      </c>
      <c r="I676" s="38" t="str">
        <f>IF(OR(D651=0,D655="　",1*MID(D658,1,2)=0,1*MID(D658,1,2)=2,1*MID(D658,1,2)=3,1*MID(D658,1,2)=4),"","L=自由長+緊張部長")</f>
        <v/>
      </c>
      <c r="J676" s="79" t="str">
        <f>IF(OR(D651=0,D655="　",1*MID(D658,1,2)=0,1*MID(D658,1,2)=2,1*MID(D658,1,2)=3,1*MID(D658,1,2)=4),"","m")</f>
        <v/>
      </c>
      <c r="K676" s="80" t="str">
        <f>IF(OR(D651=0,D655="　",1*MID(D658,1,2)=0,1*MID(D658,1,2)=2,1*MID(D658,1,2)=3,1*MID(D658,1,2)=4),"",D665+D666)</f>
        <v/>
      </c>
      <c r="L676" s="81" t="str">
        <f>IFERROR(D654*K676,"")</f>
        <v/>
      </c>
    </row>
    <row r="677" spans="4:12" ht="11.1" customHeight="1">
      <c r="F677" s="24">
        <v>27</v>
      </c>
      <c r="G677" s="17" t="str">
        <f>IF(OR(D651=0,D655="　",1*MID(D658,1,2)=0,1*MID(D658,1,2)=2,1*MID(D658,1,2)=3,1*MID(D658,1,2)=4),"","引抜試験パッカー")</f>
        <v/>
      </c>
      <c r="H677" s="38" t="str" cm="1">
        <f t="array" ref="H677">IF(OR(D651=0,D655="　",1*MID(D658,1,2)=0,1*MID(D658,1,2)=2,1*MID(D658,1,2)=3,1*MID(D658,1,2)=4),"",_xlfn.SWITCH(D662,90,"PU90",115,"PU115",135,"PU135",146,"PU146",165,"PU165")&amp;"、3層構造(鋼管･ゴム･布)")</f>
        <v/>
      </c>
      <c r="I677" s="38" t="str">
        <f>IF(OR(D651=0,D655="　",1*MID(D658,1,2)=0,1*MID(D658,1,2)=2,1*MID(D658,1,2)=3,1*MID(D658,1,2)=4),"","n=1")</f>
        <v/>
      </c>
      <c r="J677" s="79" t="str">
        <f>IF(OR(D651=0,D655="　",1*MID(D658,1,2)=0,1*MID(D658,1,2)=2,1*MID(D658,1,2)=3,1*MID(D658,1,2)=4),"","式")</f>
        <v/>
      </c>
      <c r="K677" s="32" t="str" cm="1">
        <f t="array" ref="K677">IF(OR(D651=0,D655="　",1*MID(D658,1,2)=0,1*MID(D658,1,2)=2,1*MID(D658,1,2)=3,1*MID(D658,1,2)=4),"",_xlfn.IFS(OR(1*MID(D658,1,2)=1,1*MID(D658,1,2)&gt;=5),1))</f>
        <v/>
      </c>
      <c r="L677" s="68" t="str">
        <f>IFERROR(D654*K677,"")</f>
        <v/>
      </c>
    </row>
    <row r="678" spans="4:12" ht="11.1" customHeight="1">
      <c r="F678" s="24">
        <v>28</v>
      </c>
      <c r="G678" s="17" t="str">
        <f>IF(OR(D651=0,D655="　",1*MID(D658,1,2)=0,1*MID(D658,1,2)=2,1*MID(D658,1,2)=3,1*MID(D658,1,2)=4),"","引抜試験パッカー取付加工")</f>
        <v/>
      </c>
      <c r="H678" s="38" t="str">
        <f>IF(OR(D651=0,D655="　",1*MID(D658,1,2)=0,1*MID(D658,1,2)=2,1*MID(D658,1,2)=3,1*MID(D658,1,2)=4),"","材工")</f>
        <v/>
      </c>
      <c r="I678" s="38" t="str">
        <f>IF(OR(D651=0,D655="　",1*MID(D658,1,2)=0,1*MID(D658,1,2)=2,1*MID(D658,1,2)=3,1*MID(D658,1,2)=4),"","n=1")</f>
        <v/>
      </c>
      <c r="J678" s="79" t="str" cm="1">
        <f t="array" ref="J678">IF(OR(D651=0,D655="　",1*MID(D658,1,2)=0,1*MID(D658,1,2)=2,1*MID(D658,1,2)=3,1*MID(D658,1,2)=4),"",_xlfn.IFS(OR(1*MID(D658,1,2)=1,1*MID(D658,1,2)&gt;=5),"式"))</f>
        <v/>
      </c>
      <c r="K678" s="32" t="str" cm="1">
        <f t="array" ref="K678">IF(OR(D651=0,D655="　",1*MID(D658,1,2)=0,1*MID(D658,1,2)=2,1*MID(D658,1,2)=3,1*MID(D658,1,2)=4),"",_xlfn.IFS(OR(1*MID(D658,1,2)=1,1*MID(D658,1,2)&gt;=5),1))</f>
        <v/>
      </c>
      <c r="L678" s="68" t="str">
        <f>IFERROR(D654*K678,"")</f>
        <v/>
      </c>
    </row>
    <row r="679" spans="4:12" ht="11.1" customHeight="1">
      <c r="F679" s="24">
        <v>29</v>
      </c>
      <c r="G679" s="17" t="str">
        <f>IF(OR(D651=0,D655="　",1*MID(D658,1,2)=0,1*MID(D658,1,2)=2,1*MID(D658,1,2)=3,1*MID(D658,1,2)=4),"","自由長洗浄ﾎｰｽ")</f>
        <v/>
      </c>
      <c r="H679" s="38" t="str">
        <f>IF(OR(D651=0,D655="　",1*MID(D658,1,2)=0,1*MID(D658,1,2)=2,1*MID(D658,1,2)=3,1*MID(D658,1,2)=4),"","φ16/20、ポリエチレン")</f>
        <v/>
      </c>
      <c r="I679" s="38" t="str">
        <f>IF(OR(D651=0,D655="　",1*MID(D658,1,2)=0,1*MID(D658,1,2)=2,1*MID(D658,1,2)=3,1*MID(D658,1,2)=4),"","L=自由長+0.5")</f>
        <v/>
      </c>
      <c r="J679" s="79" t="str">
        <f>IF(OR(D651=0,D655="　",1*MID(D658,1,2)=0,1*MID(D658,1,2)=2,1*MID(D658,1,2)=3,1*MID(D658,1,2)=4),"","m")</f>
        <v/>
      </c>
      <c r="K679" s="32" t="str">
        <f>IF(OR(D651=0,D655="　",1*MID(D658,1,2)=0,1*MID(D658,1,2)=2,1*MID(D658,1,2)=3,1*MID(D658,1,2)=4),"",D665+0.5)</f>
        <v/>
      </c>
      <c r="L679" s="81" t="str">
        <f>IFERROR(D654*K679,"")</f>
        <v/>
      </c>
    </row>
    <row r="680" spans="4:12" ht="11.1" customHeight="1">
      <c r="D680" s="1" t="s">
        <v>9</v>
      </c>
      <c r="F680" s="56">
        <v>30</v>
      </c>
      <c r="G680" s="82" t="str">
        <f>IF(OR(D651=0,D655="　",1*MID(D658,1,2)&lt;=2,1*MID(D658,1,2)=5,MID(D680,6,2)&lt;&gt;"あり"),"","確認ホース")</f>
        <v/>
      </c>
      <c r="H680" s="83" t="str">
        <f>IF(OR(D651=0,D655="　",1*MID(D658,1,2)&lt;=2,1*MID(D658,1,2)=5,MID(D680,6,2)&lt;&gt;"あり"),"","φ17、ポリエチレン")</f>
        <v/>
      </c>
      <c r="I680" s="83"/>
      <c r="J680" s="84" t="str">
        <f>IF(OR(D651=0,D655="　",1*MID(D658,1,2)&lt;=2,1*MID(D658,1,2)=5,MID(D680,6,2)&lt;&gt;"あり"),"","m")</f>
        <v/>
      </c>
      <c r="K680" s="85" t="str">
        <f>IF(OR(D650=0,D655="　",1*MID(D658,1,2)&lt;=2,1*MID(D658,1,2)=5,MID(D680,6,2)&lt;&gt;"あり"),"",0.5+MROUND(D665+D667,0.1))</f>
        <v/>
      </c>
      <c r="L680" s="86" t="str">
        <f>IFERROR(D654*K680,"")</f>
        <v/>
      </c>
    </row>
  </sheetData>
  <sheetProtection algorithmName="SHA-512" hashValue="UVQ+wR4Q7IyKJB1e7JCyPnA3w4OqFR+7vU08gWHHwzM+uaNypJSgp0jLh07s2iMrSVwd8MF8POTBlrpDzTVqUQ==" saltValue="sQ/Y26gY9IVuIEp8BVmwdw==" spinCount="100000" sheet="1" objects="1" scenarios="1"/>
  <phoneticPr fontId="1"/>
  <conditionalFormatting sqref="D18">
    <cfRule type="containsText" dxfId="39" priority="96" operator="containsText" text="OK">
      <formula>NOT(ISERROR(SEARCH("OK",D18)))</formula>
    </cfRule>
    <cfRule type="notContainsText" dxfId="38" priority="95" operator="notContains" text="OK">
      <formula>ISERROR(SEARCH("OK",D18))</formula>
    </cfRule>
  </conditionalFormatting>
  <conditionalFormatting sqref="D52">
    <cfRule type="containsText" dxfId="37" priority="38" operator="containsText" text="OK">
      <formula>NOT(ISERROR(SEARCH("OK",D52)))</formula>
    </cfRule>
    <cfRule type="notContainsText" dxfId="36" priority="37" operator="notContains" text="OK">
      <formula>ISERROR(SEARCH("OK",D52))</formula>
    </cfRule>
  </conditionalFormatting>
  <conditionalFormatting sqref="D86">
    <cfRule type="containsText" dxfId="35" priority="36" operator="containsText" text="OK">
      <formula>NOT(ISERROR(SEARCH("OK",D86)))</formula>
    </cfRule>
    <cfRule type="notContainsText" dxfId="34" priority="35" operator="notContains" text="OK">
      <formula>ISERROR(SEARCH("OK",D86))</formula>
    </cfRule>
  </conditionalFormatting>
  <conditionalFormatting sqref="D120">
    <cfRule type="containsText" dxfId="33" priority="34" operator="containsText" text="OK">
      <formula>NOT(ISERROR(SEARCH("OK",D120)))</formula>
    </cfRule>
    <cfRule type="notContainsText" dxfId="32" priority="33" operator="notContains" text="OK">
      <formula>ISERROR(SEARCH("OK",D120))</formula>
    </cfRule>
  </conditionalFormatting>
  <conditionalFormatting sqref="D154">
    <cfRule type="containsText" dxfId="31" priority="32" operator="containsText" text="OK">
      <formula>NOT(ISERROR(SEARCH("OK",D154)))</formula>
    </cfRule>
    <cfRule type="notContainsText" dxfId="30" priority="31" operator="notContains" text="OK">
      <formula>ISERROR(SEARCH("OK",D154))</formula>
    </cfRule>
  </conditionalFormatting>
  <conditionalFormatting sqref="D188">
    <cfRule type="containsText" dxfId="29" priority="30" operator="containsText" text="OK">
      <formula>NOT(ISERROR(SEARCH("OK",D188)))</formula>
    </cfRule>
    <cfRule type="notContainsText" dxfId="28" priority="29" operator="notContains" text="OK">
      <formula>ISERROR(SEARCH("OK",D188))</formula>
    </cfRule>
  </conditionalFormatting>
  <conditionalFormatting sqref="D222">
    <cfRule type="containsText" dxfId="27" priority="28" operator="containsText" text="OK">
      <formula>NOT(ISERROR(SEARCH("OK",D222)))</formula>
    </cfRule>
    <cfRule type="notContainsText" dxfId="26" priority="27" operator="notContains" text="OK">
      <formula>ISERROR(SEARCH("OK",D222))</formula>
    </cfRule>
  </conditionalFormatting>
  <conditionalFormatting sqref="D256">
    <cfRule type="containsText" dxfId="25" priority="26" operator="containsText" text="OK">
      <formula>NOT(ISERROR(SEARCH("OK",D256)))</formula>
    </cfRule>
    <cfRule type="notContainsText" dxfId="24" priority="25" operator="notContains" text="OK">
      <formula>ISERROR(SEARCH("OK",D256))</formula>
    </cfRule>
  </conditionalFormatting>
  <conditionalFormatting sqref="D290">
    <cfRule type="containsText" dxfId="23" priority="24" operator="containsText" text="OK">
      <formula>NOT(ISERROR(SEARCH("OK",D290)))</formula>
    </cfRule>
    <cfRule type="notContainsText" dxfId="22" priority="23" operator="notContains" text="OK">
      <formula>ISERROR(SEARCH("OK",D290))</formula>
    </cfRule>
  </conditionalFormatting>
  <conditionalFormatting sqref="D324">
    <cfRule type="notContainsText" dxfId="21" priority="21" operator="notContains" text="OK">
      <formula>ISERROR(SEARCH("OK",D324))</formula>
    </cfRule>
    <cfRule type="containsText" dxfId="20" priority="22" operator="containsText" text="OK">
      <formula>NOT(ISERROR(SEARCH("OK",D324)))</formula>
    </cfRule>
  </conditionalFormatting>
  <conditionalFormatting sqref="D358">
    <cfRule type="containsText" dxfId="19" priority="20" operator="containsText" text="OK">
      <formula>NOT(ISERROR(SEARCH("OK",D358)))</formula>
    </cfRule>
    <cfRule type="notContainsText" dxfId="18" priority="19" operator="notContains" text="OK">
      <formula>ISERROR(SEARCH("OK",D358))</formula>
    </cfRule>
  </conditionalFormatting>
  <conditionalFormatting sqref="D392">
    <cfRule type="containsText" dxfId="17" priority="18" operator="containsText" text="OK">
      <formula>NOT(ISERROR(SEARCH("OK",D392)))</formula>
    </cfRule>
    <cfRule type="notContainsText" dxfId="16" priority="17" operator="notContains" text="OK">
      <formula>ISERROR(SEARCH("OK",D392))</formula>
    </cfRule>
  </conditionalFormatting>
  <conditionalFormatting sqref="D426">
    <cfRule type="containsText" dxfId="15" priority="16" operator="containsText" text="OK">
      <formula>NOT(ISERROR(SEARCH("OK",D426)))</formula>
    </cfRule>
    <cfRule type="notContainsText" dxfId="14" priority="15" operator="notContains" text="OK">
      <formula>ISERROR(SEARCH("OK",D426))</formula>
    </cfRule>
  </conditionalFormatting>
  <conditionalFormatting sqref="D460">
    <cfRule type="containsText" dxfId="13" priority="14" operator="containsText" text="OK">
      <formula>NOT(ISERROR(SEARCH("OK",D460)))</formula>
    </cfRule>
    <cfRule type="notContainsText" dxfId="12" priority="13" operator="notContains" text="OK">
      <formula>ISERROR(SEARCH("OK",D460))</formula>
    </cfRule>
  </conditionalFormatting>
  <conditionalFormatting sqref="D494">
    <cfRule type="containsText" dxfId="11" priority="12" operator="containsText" text="OK">
      <formula>NOT(ISERROR(SEARCH("OK",D494)))</formula>
    </cfRule>
    <cfRule type="notContainsText" dxfId="10" priority="11" operator="notContains" text="OK">
      <formula>ISERROR(SEARCH("OK",D494))</formula>
    </cfRule>
  </conditionalFormatting>
  <conditionalFormatting sqref="D528">
    <cfRule type="containsText" dxfId="9" priority="10" operator="containsText" text="OK">
      <formula>NOT(ISERROR(SEARCH("OK",D528)))</formula>
    </cfRule>
    <cfRule type="notContainsText" dxfId="8" priority="9" operator="notContains" text="OK">
      <formula>ISERROR(SEARCH("OK",D528))</formula>
    </cfRule>
  </conditionalFormatting>
  <conditionalFormatting sqref="D562">
    <cfRule type="containsText" dxfId="7" priority="8" operator="containsText" text="OK">
      <formula>NOT(ISERROR(SEARCH("OK",D562)))</formula>
    </cfRule>
    <cfRule type="notContainsText" dxfId="6" priority="7" operator="notContains" text="OK">
      <formula>ISERROR(SEARCH("OK",D562))</formula>
    </cfRule>
  </conditionalFormatting>
  <conditionalFormatting sqref="D596">
    <cfRule type="containsText" dxfId="5" priority="6" operator="containsText" text="OK">
      <formula>NOT(ISERROR(SEARCH("OK",D596)))</formula>
    </cfRule>
    <cfRule type="notContainsText" dxfId="4" priority="5" operator="notContains" text="OK">
      <formula>ISERROR(SEARCH("OK",D596))</formula>
    </cfRule>
  </conditionalFormatting>
  <conditionalFormatting sqref="D630">
    <cfRule type="notContainsText" dxfId="3" priority="3" operator="notContains" text="OK">
      <formula>ISERROR(SEARCH("OK",D630))</formula>
    </cfRule>
    <cfRule type="containsText" dxfId="2" priority="4" operator="containsText" text="OK">
      <formula>NOT(ISERROR(SEARCH("OK",D630)))</formula>
    </cfRule>
  </conditionalFormatting>
  <conditionalFormatting sqref="D664">
    <cfRule type="containsText" dxfId="1" priority="2" operator="containsText" text="OK">
      <formula>NOT(ISERROR(SEARCH("OK",D664)))</formula>
    </cfRule>
    <cfRule type="notContainsText" dxfId="0" priority="1" operator="notContains" text="OK">
      <formula>ISERROR(SEARCH("OK",D664))</formula>
    </cfRule>
  </conditionalFormatting>
  <dataValidations count="10">
    <dataValidation type="list" allowBlank="1" showInputMessage="1" showErrorMessage="1" sqref="D5 D39 D73 D107 D141 D175 D209 D243 D277 D311 D345 D379 D413 D447 D481 D515 D549 D583 D617 D651" xr:uid="{D3154430-E341-455D-8028-F8AE036E5C41}">
      <formula1>"0,1"</formula1>
    </dataValidation>
    <dataValidation type="list" allowBlank="1" showInputMessage="1" showErrorMessage="1" sqref="D9 D43 D77 D111 D145 D179 D213 D247 D281 D315 D349 D383 D417 D451 D485 D519 D553 D587 D621 D655" xr:uid="{746A02C3-4475-47BC-B840-3ADC7C8C17CE}">
      <formula1>"　,EHD5-1H,EHD5-2H,EHD5-3H,EHD5-4H,EHD5-5H,EHD5-6H,EHD5-7H,EHD5-8H,EHD5-9H,EHD5-10H,EHD5-11H,EHD5-12H,EHD6-1H,EHD6-2H,EHD6-3H,EHD6-4H,EHD6-5H,EHD6-6H,EHD6-7H,EHD6-8H,EHD6-9H,EHD6-10H,EHD6-11H,EHD6-12H,EHD6-13H,EHD6-14H"</formula1>
    </dataValidation>
    <dataValidation type="list" allowBlank="1" showInputMessage="1" showErrorMessage="1" sqref="D12 D46 D80 D114 D148 D182 D216 D624 D250 D284 D352 D318 D386 D420 D454 D488 D522 D556 D590 D658" xr:uid="{0EF5D287-197D-48C1-93C6-B8BBFF975E34}">
      <formula1>"00なし,01引抜試験,02自由長,03アンカー体,04自由長+アンカー体,05引抜+自由長,06引抜+アンカー体,07引抜+自由長+アンカー体"</formula1>
    </dataValidation>
    <dataValidation type="list" allowBlank="1" showInputMessage="1" showErrorMessage="1" sqref="D16 D50 D84 D118 D152 D186 D220 D628 D254 D288 D356 D322 D390 D424 D458 D492 D526 D560 D594 D662" xr:uid="{2350A2F2-9622-497B-8BF7-C393F62583D7}">
      <formula1>"　,90,115,135,146,165,216"</formula1>
    </dataValidation>
    <dataValidation type="list" allowBlank="1" showInputMessage="1" showErrorMessage="1" sqref="D7 D41 D75 D109 D143 D177 D211 D245 D279 D313 D347 D381 D415 D449 D483 D517 D551 D585 D619 D653" xr:uid="{A9CE9D72-E237-4C5E-954E-840D92E1A414}">
      <formula1>"　,防食Ⅱ(一般環境),防食Ⅲ(塩害環境),防食Ⅲ(酸性土環境)"</formula1>
    </dataValidation>
    <dataValidation type="list" allowBlank="1" showInputMessage="1" showErrorMessage="1" sqref="D34 D68 D102 D136 D170 D204 D238 D272 D306 D340 D374 D408 D442 D476 D510 D544 D578 D612 D646 D680" xr:uid="{6336D73E-3A70-4917-BB9E-1AD1A4282A48}">
      <formula1>"　,確認ホースなし,確認ホースあり"</formula1>
    </dataValidation>
    <dataValidation type="list" allowBlank="1" showInputMessage="1" showErrorMessage="1" sqref="D10 D44 D78 D112 D146 D180 D214 D248 D282 D316 D350 D384 D418 D452 D486 D520 D554 D588 D622 D656" xr:uid="{FE25486A-43CB-4187-9476-4AA8A234DEC6}">
      <formula1>"　,透明ｷｬｯﾌﾟ,5窓ｷｬｯﾌﾟ,下1窓ｷｬｯﾌﾟ,ｱﾙﾐｷｬｯﾌﾟ,Gﾚｽｱﾙﾐｷｬｯﾌﾟ,Gﾚｽ鋼製ｷｬｯﾌﾟ"</formula1>
    </dataValidation>
    <dataValidation type="list" allowBlank="1" showInputMessage="1" showErrorMessage="1" sqref="D13 D47 D81 D115 D149 D183 D217 D625 D251 D285 D353 D319 D387 D421 D455 D489 D523 D557 D591 D659" xr:uid="{49084E6C-0992-4E7C-B576-69DC3EFBF0D5}">
      <formula1>"0.0,0.2,0.3,0.4,0.5,0.6,0.7,0.8,0.9,1.0,1.1,1.2,1.3,1.4,1.5,1.6,1.7"</formula1>
    </dataValidation>
    <dataValidation type="list" allowBlank="1" showInputMessage="1" showErrorMessage="1" sqref="D15 D49 D83 D117 D151 D185 D219 D627 D253 D287 D355 D321 D389 D423 D457 D491 D525 D559 D593 D661" xr:uid="{91ED1926-7556-470F-B1C1-9254A1205354}">
      <formula1>"1.0,1.5,2.0,2.5,3.0,3.5,4.0,4.5,5.0,5.5,6.0,6.5,7.0,7.5,8.0,8.5,9.0,9.5,10.0,10.5,11.0,11.5,12.0,12.5,13.0,13.5,14.0,14.5,15.0"</formula1>
    </dataValidation>
    <dataValidation type="list" allowBlank="1" showInputMessage="1" showErrorMessage="1" sqref="D11 D45 D79 D113 D147 D181 D215 D249 D283 D317 D351 D385 D419 D453 D487 D521 D555 D589 D623 D657" xr:uid="{5A1D4585-D730-452D-A905-AF66DDA24789}">
      <formula1>"　,なし,受圧体のみ,のり面角度台座,構造物壁面台座,土留め台座,個別台座"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  <rowBreaks count="9" manualBreakCount="9">
    <brk id="35" min="1" max="11" man="1"/>
    <brk id="69" max="16383" man="1"/>
    <brk id="103" min="1" max="11" man="1"/>
    <brk id="137" min="1" max="11" man="1"/>
    <brk id="171" min="1" max="11" man="1"/>
    <brk id="205" min="1" max="11" man="1"/>
    <brk id="239" min="1" max="11" man="1"/>
    <brk id="273" min="1" max="11" man="1"/>
    <brk id="307" min="1" max="11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5A96-E046-4867-B0E9-C8F78B523B98}">
  <dimension ref="B2:O43"/>
  <sheetViews>
    <sheetView view="pageBreakPreview" zoomScale="115" zoomScaleNormal="100" zoomScaleSheetLayoutView="115" workbookViewId="0">
      <selection activeCell="D26" sqref="D26"/>
    </sheetView>
  </sheetViews>
  <sheetFormatPr defaultColWidth="8.83203125" defaultRowHeight="11.1" customHeight="1"/>
  <cols>
    <col min="1" max="2" width="3.5" style="1" customWidth="1"/>
    <col min="3" max="3" width="8" style="1" customWidth="1"/>
    <col min="4" max="4" width="19.83203125" style="1" customWidth="1"/>
    <col min="5" max="5" width="13.83203125" style="1" customWidth="1"/>
    <col min="6" max="6" width="7.5" style="1" customWidth="1"/>
    <col min="7" max="7" width="10.5" style="1" customWidth="1"/>
    <col min="8" max="8" width="9.1640625" style="1" customWidth="1"/>
    <col min="9" max="9" width="11" style="1" customWidth="1"/>
    <col min="10" max="10" width="11.1640625" style="1" customWidth="1"/>
    <col min="11" max="15" width="7.83203125" style="1" customWidth="1"/>
    <col min="16" max="17" width="8.83203125" style="1" customWidth="1"/>
    <col min="18" max="16384" width="8.83203125" style="1"/>
  </cols>
  <sheetData>
    <row r="2" spans="3:7" ht="11.1" customHeight="1">
      <c r="C2" s="73" t="s">
        <v>83</v>
      </c>
    </row>
    <row r="4" spans="3:7" ht="11.1" customHeight="1">
      <c r="D4" s="73" t="s">
        <v>82</v>
      </c>
    </row>
    <row r="5" spans="3:7" ht="11.1" customHeight="1">
      <c r="D5" s="93" t="s">
        <v>67</v>
      </c>
      <c r="E5" s="113" t="s">
        <v>68</v>
      </c>
      <c r="F5" s="113"/>
      <c r="G5" s="94"/>
    </row>
    <row r="6" spans="3:7" ht="11.1" customHeight="1">
      <c r="D6" s="93" t="s">
        <v>69</v>
      </c>
      <c r="E6" s="113" t="s">
        <v>70</v>
      </c>
      <c r="F6" s="113"/>
      <c r="G6" s="94"/>
    </row>
    <row r="7" spans="3:7" ht="11.1" customHeight="1">
      <c r="E7" s="101"/>
      <c r="F7" s="101"/>
      <c r="G7" s="101"/>
    </row>
    <row r="8" spans="3:7" ht="11.1" customHeight="1">
      <c r="D8" s="95" t="s">
        <v>71</v>
      </c>
      <c r="E8" s="114">
        <v>45719</v>
      </c>
      <c r="F8" s="114"/>
      <c r="G8" s="102"/>
    </row>
    <row r="9" spans="3:7" ht="11.1" customHeight="1">
      <c r="D9" s="96" t="s">
        <v>72</v>
      </c>
      <c r="E9" s="115" t="s">
        <v>84</v>
      </c>
      <c r="F9" s="115"/>
      <c r="G9" s="115"/>
    </row>
    <row r="10" spans="3:7" ht="11.1" customHeight="1">
      <c r="D10" s="97" t="s">
        <v>73</v>
      </c>
      <c r="E10" s="116" t="s">
        <v>85</v>
      </c>
      <c r="F10" s="116"/>
      <c r="G10" s="116"/>
    </row>
    <row r="11" spans="3:7" ht="11.1" customHeight="1">
      <c r="D11" s="97" t="s">
        <v>74</v>
      </c>
      <c r="E11" s="112" t="s">
        <v>75</v>
      </c>
      <c r="F11" s="112"/>
      <c r="G11" s="112"/>
    </row>
    <row r="12" spans="3:7" ht="11.1" customHeight="1">
      <c r="D12" s="97" t="s">
        <v>76</v>
      </c>
      <c r="E12" s="117" t="s">
        <v>77</v>
      </c>
      <c r="F12" s="117"/>
      <c r="G12" s="117"/>
    </row>
    <row r="13" spans="3:7" ht="11.1" customHeight="1">
      <c r="D13" s="97" t="s">
        <v>78</v>
      </c>
      <c r="E13" s="112" t="s">
        <v>79</v>
      </c>
      <c r="F13" s="112"/>
      <c r="G13" s="112"/>
    </row>
    <row r="14" spans="3:7" ht="11.1" customHeight="1">
      <c r="D14" s="43" t="s">
        <v>80</v>
      </c>
      <c r="E14" s="118" t="s">
        <v>81</v>
      </c>
      <c r="F14" s="118"/>
      <c r="G14" s="118"/>
    </row>
    <row r="15" spans="3:7" ht="11.1" customHeight="1">
      <c r="D15" s="53"/>
      <c r="E15" s="100"/>
      <c r="F15" s="100"/>
      <c r="G15" s="100"/>
    </row>
    <row r="16" spans="3:7" ht="11.1" customHeight="1">
      <c r="D16" s="96" t="s">
        <v>88</v>
      </c>
      <c r="E16" s="128" t="s">
        <v>96</v>
      </c>
      <c r="F16" s="128"/>
      <c r="G16" s="128"/>
    </row>
    <row r="17" spans="2:15" ht="11.1" customHeight="1">
      <c r="D17" s="97" t="s">
        <v>89</v>
      </c>
      <c r="E17" s="125" t="s">
        <v>93</v>
      </c>
      <c r="F17" s="126"/>
      <c r="G17" s="127"/>
    </row>
    <row r="18" spans="2:15" ht="11.1" customHeight="1">
      <c r="D18" s="97" t="s">
        <v>90</v>
      </c>
      <c r="E18" s="119" t="s">
        <v>95</v>
      </c>
      <c r="F18" s="120"/>
      <c r="G18" s="121"/>
    </row>
    <row r="19" spans="2:15" ht="11.1" customHeight="1">
      <c r="D19" s="43" t="s">
        <v>91</v>
      </c>
      <c r="E19" s="122" t="s">
        <v>92</v>
      </c>
      <c r="F19" s="123"/>
      <c r="G19" s="124"/>
    </row>
    <row r="21" spans="2:15" ht="11.1" customHeight="1">
      <c r="D21" s="73" t="s">
        <v>66</v>
      </c>
    </row>
    <row r="22" spans="2:15" ht="11.1" customHeight="1">
      <c r="B22" s="87" t="s">
        <v>44</v>
      </c>
      <c r="C22" s="87" t="s">
        <v>86</v>
      </c>
      <c r="D22" s="87" t="s">
        <v>45</v>
      </c>
      <c r="E22" s="87" t="s">
        <v>46</v>
      </c>
      <c r="F22" s="87" t="s">
        <v>47</v>
      </c>
      <c r="G22" s="87" t="s">
        <v>48</v>
      </c>
      <c r="H22" s="87" t="s">
        <v>49</v>
      </c>
      <c r="I22" s="87" t="s">
        <v>50</v>
      </c>
      <c r="J22" s="87" t="s">
        <v>51</v>
      </c>
      <c r="K22" s="87" t="s">
        <v>52</v>
      </c>
      <c r="L22" s="87" t="s">
        <v>53</v>
      </c>
      <c r="M22" s="87" t="s">
        <v>54</v>
      </c>
      <c r="N22" s="87" t="s">
        <v>55</v>
      </c>
      <c r="O22" s="87" t="s">
        <v>94</v>
      </c>
    </row>
    <row r="23" spans="2:15" ht="11.1" customHeight="1">
      <c r="B23" s="72" t="s">
        <v>56</v>
      </c>
      <c r="C23" s="72" t="s">
        <v>57</v>
      </c>
      <c r="D23" s="72" t="s">
        <v>58</v>
      </c>
      <c r="E23" s="72" t="s">
        <v>58</v>
      </c>
      <c r="F23" s="89" t="s">
        <v>59</v>
      </c>
      <c r="G23" s="72" t="s">
        <v>58</v>
      </c>
      <c r="H23" s="72" t="s">
        <v>58</v>
      </c>
      <c r="I23" s="72" t="s">
        <v>58</v>
      </c>
      <c r="J23" s="72" t="s">
        <v>60</v>
      </c>
      <c r="K23" s="90" t="s">
        <v>61</v>
      </c>
      <c r="L23" s="91" t="s">
        <v>62</v>
      </c>
      <c r="M23" s="91" t="s">
        <v>63</v>
      </c>
      <c r="N23" s="91" t="s">
        <v>64</v>
      </c>
      <c r="O23" s="91" t="s">
        <v>65</v>
      </c>
    </row>
    <row r="24" spans="2:15" ht="11.1" customHeight="1">
      <c r="B24" s="88" cm="1">
        <f t="array" ref="B24">INDEX(数量表01!$D$1:'数量表01'!$D$2000,COLUMN()-COLUMN($A$24)+3+34*(ROW()-ROW($A$24)),0)</f>
        <v>1</v>
      </c>
      <c r="C24" s="103" cm="1">
        <f t="array" ref="C24">INDEX(数量表01!$D$1:'数量表01'!$D$1000,COLUMN()-COLUMN($A$24)+3+34*(ROW()-ROW($A$24)),0)</f>
        <v>1</v>
      </c>
      <c r="D24" s="103" t="str" cm="1">
        <f t="array" ref="D24">IF(OR(C24=0,COUNTIFS(C$24:C24,0)&lt;&gt;0),"",INDEX(数量表01!$D$1:'数量表01'!$D$1000,COLUMN()-COLUMN($A$24)+3+34*(ROW()-ROW($A$24)),0))</f>
        <v>(1)1列目：1段/4段</v>
      </c>
      <c r="E24" s="104" t="str" cm="1">
        <f t="array" ref="E24">IF(OR(C24=0,COUNTIFS(C$24:C24,0)&lt;&gt;0),"",INDEX(数量表01!$D$1:'数量表01'!$D$1000,COLUMN()-COLUMN($A$24)+3+34*(ROW()-ROW($A$24)),0))</f>
        <v>防食Ⅱ(一般環境)</v>
      </c>
      <c r="F24" s="105" cm="1">
        <f t="array" ref="F24">IF(OR(C24=0,COUNTIFS(C$24:C24,0)&lt;&gt;0),"",INDEX(数量表01!$D$1:'数量表01'!$D$1000,COLUMN()-COLUMN($A$24)+3+34*(ROW()-ROW($A$24)),0))</f>
        <v>1</v>
      </c>
      <c r="G24" s="79" t="str" cm="1">
        <f t="array" ref="G24">IF(OR(C24=0,COUNTIFS(C$24:C24,0)&lt;&gt;0),"",INDEX(数量表01!$D$1:'数量表01'!$D$1000,COLUMN()-COLUMN($A$24)+3+34*(ROW()-ROW($A$24)),0))</f>
        <v>EHD5-2H</v>
      </c>
      <c r="H24" s="79" t="str" cm="1">
        <f t="array" ref="H24">IF(OR(C24=0,COUNTIFS(C$24:C24,0)&lt;&gt;0),"",INDEX(数量表01!$D$1:'数量表01'!$D$1000,COLUMN()-COLUMN($A$24)+3+34*(ROW()-ROW($A$24)),0))</f>
        <v>透明ｷｬｯﾌﾟ</v>
      </c>
      <c r="I24" s="79" t="str" cm="1">
        <f t="array" ref="I24">IF(OR(C24=0,COUNTIFS(C$24:C24,0)&lt;&gt;0),"",INDEX(数量表01!$D$1:'数量表01'!$D$1000,COLUMN()-COLUMN($A$24)+3+34*(ROW()-ROW($A$24)),0))</f>
        <v>のり面角度台座</v>
      </c>
      <c r="J24" s="79" t="str" cm="1">
        <f t="array" ref="J24">IF(OR(C24=0,COUNTIFS(C$24:C24,0)&lt;&gt;0),"",INDEX(数量表01!$D$1:'数量表01'!$D$1000,COLUMN()-COLUMN($A$24)+3+34*(ROW()-ROW($A$24)),0))</f>
        <v>00なし</v>
      </c>
      <c r="K24" s="80" cm="1">
        <f t="array" ref="K24">IF(OR(C24=0,COUNTIFS(C$24:C24,0)&lt;&gt;0,G24="　"),"",IF(MID(G24,4,1)="5",_xlfn.IFS(1*MID(LEFT(G24,LEN(G24)-1),6,2)&lt;8,1,1*MID(LEFT(G24,LEN(G24)-1),6,2)&lt;13,1.2),_xlfn.IFS(1*MID(LEFT(G24,LEN(G24)-1),6,2)&lt;6,1,1*MID(LEFT(G24,LEN(G24)-1),6,2)&lt;15,1.2)))</f>
        <v>1</v>
      </c>
      <c r="L24" s="106" cm="1">
        <f t="array" ref="L24">IF(OR(C24=0,COUNTIFS(C$24:C24,0)&lt;&gt;0),"",INDEX(数量表01!$D$1:'数量表01'!$D$1000,COLUMN()-COLUMN($A$24)+2+34*(ROW()-ROW($A$24)),0))</f>
        <v>0.6</v>
      </c>
      <c r="M24" s="80" cm="1">
        <f t="array" ref="M24">IF(OR(C24=0,COUNTIFS(C$24:C24,0)&lt;&gt;0),"",INDEX(数量表01!$D$1:'数量表01'!$D$1000,COLUMN()-COLUMN($A$24)+2+34*(ROW()-ROW($A$24)),0))</f>
        <v>10.4</v>
      </c>
      <c r="N24" s="106" cm="1">
        <f t="array" ref="N24">IF(OR(C24=0,COUNTIFS(C$24:C24,0)&lt;&gt;0),"",INDEX(数量表01!$D$1:'数量表01'!$D$1000,COLUMN()-COLUMN($A$24)+2+34*(ROW()-ROW($A$24)),0))</f>
        <v>3</v>
      </c>
      <c r="O24" s="107" cm="1">
        <f t="array" ref="O24">IF(OR(C24=0,COUNTIFS(C$24:C24,0)&lt;&gt;0),"",INDEX(数量表01!$D$1:'数量表01'!$D$1000,COLUMN()-COLUMN($A$24)+2+34*(ROW()-ROW($A$24)),0))</f>
        <v>90</v>
      </c>
    </row>
    <row r="25" spans="2:15" ht="11.1" customHeight="1">
      <c r="B25" s="88" cm="1">
        <f t="array" ref="B25">INDEX(数量表01!$D$1:'数量表01'!$D$1000,COLUMN()-COLUMN($A$24)+3+34*(ROW()-ROW($A$24)),0)</f>
        <v>2</v>
      </c>
      <c r="C25" s="108" cm="1">
        <f t="array" ref="C25">INDEX(数量表01!$D$1:'数量表01'!$D$1000,COLUMN()-COLUMN($A$24)+3+34*(ROW()-ROW($A$24)),0)</f>
        <v>1</v>
      </c>
      <c r="D25" s="108" t="str" cm="1">
        <f t="array" ref="D25">IF(OR(C25=0,COUNTIFS(C$24:C25,0)&lt;&gt;0),"",INDEX(数量表01!$D$1:'数量表01'!$D$1000,COLUMN()-COLUMN($A$24)+3+34*(ROW()-ROW($A$24)),0))</f>
        <v>(2)1列目：2段/4段</v>
      </c>
      <c r="E25" s="79" t="str" cm="1">
        <f t="array" ref="E25">IF(OR(C25=0,COUNTIFS(C$24:C25,0)&lt;&gt;0),"",INDEX(数量表01!$D$1:'数量表01'!$D$1000,COLUMN()-COLUMN($A$24)+3+34*(ROW()-ROW($A$24)),0))</f>
        <v>防食Ⅱ(一般環境)</v>
      </c>
      <c r="F25" s="79" cm="1">
        <f t="array" ref="F25">IF(OR(C25=0,COUNTIFS(C$24:C25,0)&lt;&gt;0),"",INDEX(数量表01!$D$1:'数量表01'!$D$1000,COLUMN()-COLUMN($A$24)+3+34*(ROW()-ROW($A$24)),0))</f>
        <v>1</v>
      </c>
      <c r="G25" s="79" t="str" cm="1">
        <f t="array" ref="G25">IF(OR(C25=0,COUNTIFS(C$24:C25,0)&lt;&gt;0),"",INDEX(数量表01!$D$1:'数量表01'!$D$1000,COLUMN()-COLUMN($A$24)+3+34*(ROW()-ROW($A$24)),0))</f>
        <v>EHD5-2H</v>
      </c>
      <c r="H25" s="79" t="str" cm="1">
        <f t="array" ref="H25">IF(OR(C25=0,COUNTIFS(C$24:C25,0)&lt;&gt;0),"",INDEX(数量表01!$D$1:'数量表01'!$D$1000,COLUMN()-COLUMN($A$24)+3+34*(ROW()-ROW($A$24)),0))</f>
        <v>透明ｷｬｯﾌﾟ</v>
      </c>
      <c r="I25" s="79" t="str" cm="1">
        <f t="array" ref="I25">IF(OR(C25=0,COUNTIFS(C$24:C25,0)&lt;&gt;0),"",INDEX(数量表01!$D$1:'数量表01'!$D$1000,COLUMN()-COLUMN($A$24)+3+34*(ROW()-ROW($A$24)),0))</f>
        <v>のり面角度台座</v>
      </c>
      <c r="J25" s="79" t="str" cm="1">
        <f t="array" ref="J25">IF(OR(C25=0,COUNTIFS(C$24:C25,0)&lt;&gt;0),"",INDEX(数量表01!$D$1:'数量表01'!$D$1000,COLUMN()-COLUMN($A$24)+3+34*(ROW()-ROW($A$24)),0))</f>
        <v>00なし</v>
      </c>
      <c r="K25" s="80" cm="1">
        <f t="array" ref="K25">IF(OR(C25=0,COUNTIFS(C$24:C25,0)&lt;&gt;0,G25="　"),"",IF(MID(G25,4,1)="5",_xlfn.IFS(1*MID(LEFT(G25,LEN(G25)-1),6,2)&lt;8,1,1*MID(LEFT(G25,LEN(G25)-1),6,2)&lt;13,1.2),_xlfn.IFS(1*MID(LEFT(G25,LEN(G25)-1),6,2)&lt;6,1,1*MID(LEFT(G25,LEN(G25)-1),6,2)&lt;15,1.2)))</f>
        <v>1</v>
      </c>
      <c r="L25" s="106" cm="1">
        <f t="array" ref="L25">IF(OR(C25=0,COUNTIFS(C$24:C25,0)&lt;&gt;0),"",INDEX(数量表01!$D$1:'数量表01'!$D$1000,COLUMN()-COLUMN($A$24)+2+34*(ROW()-ROW($A$24)),0))</f>
        <v>0.6</v>
      </c>
      <c r="M25" s="80" cm="1">
        <f t="array" ref="M25">IF(OR(C25=0,COUNTIFS(C$24:C25,0)&lt;&gt;0),"",INDEX(数量表01!$D$1:'数量表01'!$D$1000,COLUMN()-COLUMN($A$24)+2+34*(ROW()-ROW($A$24)),0))</f>
        <v>5.9</v>
      </c>
      <c r="N25" s="106" cm="1">
        <f t="array" ref="N25">IF(OR(C25=0,COUNTIFS(C$24:C25,0)&lt;&gt;0),"",INDEX(数量表01!$D$1:'数量表01'!$D$1000,COLUMN()-COLUMN($A$24)+2+34*(ROW()-ROW($A$24)),0))</f>
        <v>3</v>
      </c>
      <c r="O25" s="107" cm="1">
        <f t="array" ref="O25">IF(OR(C25=0,COUNTIFS(C$24:C25,0)&lt;&gt;0),"",INDEX(数量表01!$D$1:'数量表01'!$D$1000,COLUMN()-COLUMN($A$24)+2+34*(ROW()-ROW($A$24)),0))</f>
        <v>90</v>
      </c>
    </row>
    <row r="26" spans="2:15" ht="11.1" customHeight="1">
      <c r="B26" s="88" cm="1">
        <f t="array" ref="B26">INDEX(数量表01!$D$1:'数量表01'!$D$1000,COLUMN()-COLUMN($A$24)+3+34*(ROW()-ROW($A$24)),0)</f>
        <v>3</v>
      </c>
      <c r="C26" s="108" cm="1">
        <f t="array" ref="C26">INDEX(数量表01!$D$1:'数量表01'!$D$1000,COLUMN()-COLUMN($A$24)+3+34*(ROW()-ROW($A$24)),0)</f>
        <v>1</v>
      </c>
      <c r="D26" s="108" t="str" cm="1">
        <f t="array" ref="D26">IF(OR(C26=0,COUNTIFS(C$24:C26,0)&lt;&gt;0),"",INDEX(数量表01!$D$1:'数量表01'!$D$1000,COLUMN()-COLUMN($A$24)+3+34*(ROW()-ROW($A$24)),0))</f>
        <v>(3)1列目：3段/4段</v>
      </c>
      <c r="E26" s="79" t="str" cm="1">
        <f t="array" ref="E26">IF(OR(C26=0,COUNTIFS(C$24:C26,0)&lt;&gt;0),"",INDEX(数量表01!$D$1:'数量表01'!$D$1000,COLUMN()-COLUMN($A$24)+3+34*(ROW()-ROW($A$24)),0))</f>
        <v>防食Ⅱ(一般環境)</v>
      </c>
      <c r="F26" s="79" cm="1">
        <f t="array" ref="F26">IF(OR(C26=0,COUNTIFS(C$24:C26,0)&lt;&gt;0),"",INDEX(数量表01!$D$1:'数量表01'!$D$1000,COLUMN()-COLUMN($A$24)+3+34*(ROW()-ROW($A$24)),0))</f>
        <v>1</v>
      </c>
      <c r="G26" s="79" t="str" cm="1">
        <f t="array" ref="G26">IF(OR(C26=0,COUNTIFS(C$24:C26,0)&lt;&gt;0),"",INDEX(数量表01!$D$1:'数量表01'!$D$1000,COLUMN()-COLUMN($A$24)+3+34*(ROW()-ROW($A$24)),0))</f>
        <v>EHD5-2H</v>
      </c>
      <c r="H26" s="79" t="str" cm="1">
        <f t="array" ref="H26">IF(OR(C26=0,COUNTIFS(C$24:C26,0)&lt;&gt;0),"",INDEX(数量表01!$D$1:'数量表01'!$D$1000,COLUMN()-COLUMN($A$24)+3+34*(ROW()-ROW($A$24)),0))</f>
        <v>透明ｷｬｯﾌﾟ</v>
      </c>
      <c r="I26" s="79" t="str" cm="1">
        <f t="array" ref="I26">IF(OR(C26=0,COUNTIFS(C$24:C26,0)&lt;&gt;0),"",INDEX(数量表01!$D$1:'数量表01'!$D$1000,COLUMN()-COLUMN($A$24)+3+34*(ROW()-ROW($A$24)),0))</f>
        <v>のり面角度台座</v>
      </c>
      <c r="J26" s="79" t="str" cm="1">
        <f t="array" ref="J26">IF(OR(C26=0,COUNTIFS(C$24:C26,0)&lt;&gt;0),"",INDEX(数量表01!$D$1:'数量表01'!$D$1000,COLUMN()-COLUMN($A$24)+3+34*(ROW()-ROW($A$24)),0))</f>
        <v>00なし</v>
      </c>
      <c r="K26" s="80" cm="1">
        <f t="array" ref="K26">IF(OR(C26=0,COUNTIFS(C$24:C26,0)&lt;&gt;0,G26="　"),"",IF(MID(G26,4,1)="5",_xlfn.IFS(1*MID(LEFT(G26,LEN(G26)-1),6,2)&lt;8,1,1*MID(LEFT(G26,LEN(G26)-1),6,2)&lt;13,1.2),_xlfn.IFS(1*MID(LEFT(G26,LEN(G26)-1),6,2)&lt;6,1,1*MID(LEFT(G26,LEN(G26)-1),6,2)&lt;15,1.2)))</f>
        <v>1</v>
      </c>
      <c r="L26" s="106" cm="1">
        <f t="array" ref="L26">IF(OR(C26=0,COUNTIFS(C$24:C26,0)&lt;&gt;0),"",INDEX(数量表01!$D$1:'数量表01'!$D$1000,COLUMN()-COLUMN($A$24)+2+34*(ROW()-ROW($A$24)),0))</f>
        <v>0.6</v>
      </c>
      <c r="M26" s="80" cm="1">
        <f t="array" ref="M26">IF(OR(C26=0,COUNTIFS(C$24:C26,0)&lt;&gt;0),"",INDEX(数量表01!$D$1:'数量表01'!$D$1000,COLUMN()-COLUMN($A$24)+2+34*(ROW()-ROW($A$24)),0))</f>
        <v>3.9</v>
      </c>
      <c r="N26" s="106" cm="1">
        <f t="array" ref="N26">IF(OR(C26=0,COUNTIFS(C$24:C26,0)&lt;&gt;0),"",INDEX(数量表01!$D$1:'数量表01'!$D$1000,COLUMN()-COLUMN($A$24)+2+34*(ROW()-ROW($A$24)),0))</f>
        <v>3</v>
      </c>
      <c r="O26" s="107" cm="1">
        <f t="array" ref="O26">IF(OR(C26=0,COUNTIFS(C$24:C26,0)&lt;&gt;0),"",INDEX(数量表01!$D$1:'数量表01'!$D$1000,COLUMN()-COLUMN($A$24)+2+34*(ROW()-ROW($A$24)),0))</f>
        <v>90</v>
      </c>
    </row>
    <row r="27" spans="2:15" ht="11.1" customHeight="1">
      <c r="B27" s="88" cm="1">
        <f t="array" ref="B27">INDEX(数量表01!$D$1:'数量表01'!$D$1000,COLUMN()-COLUMN($A$24)+3+34*(ROW()-ROW($A$24)),0)</f>
        <v>4</v>
      </c>
      <c r="C27" s="108" cm="1">
        <f t="array" ref="C27">INDEX(数量表01!$D$1:'数量表01'!$D$1000,COLUMN()-COLUMN($A$24)+3+34*(ROW()-ROW($A$24)),0)</f>
        <v>1</v>
      </c>
      <c r="D27" s="108" t="str" cm="1">
        <f t="array" ref="D27">IF(OR(C27=0,COUNTIFS(C$24:C27,0)&lt;&gt;0),"",INDEX(数量表01!$D$1:'数量表01'!$D$1000,COLUMN()-COLUMN($A$24)+3+34*(ROW()-ROW($A$24)),0))</f>
        <v>(4)1列目：4段/4段</v>
      </c>
      <c r="E27" s="79" t="str" cm="1">
        <f t="array" ref="E27">IF(OR(C27=0,COUNTIFS(C$24:C27,0)&lt;&gt;0),"",INDEX(数量表01!$D$1:'数量表01'!$D$1000,COLUMN()-COLUMN($A$24)+3+34*(ROW()-ROW($A$24)),0))</f>
        <v>防食Ⅱ(一般環境)</v>
      </c>
      <c r="F27" s="79" cm="1">
        <f t="array" ref="F27">IF(OR(C27=0,COUNTIFS(C$24:C27,0)&lt;&gt;0),"",INDEX(数量表01!$D$1:'数量表01'!$D$1000,COLUMN()-COLUMN($A$24)+3+34*(ROW()-ROW($A$24)),0))</f>
        <v>1</v>
      </c>
      <c r="G27" s="79" t="str" cm="1">
        <f t="array" ref="G27">IF(OR(C27=0,COUNTIFS(C$24:C27,0)&lt;&gt;0),"",INDEX(数量表01!$D$1:'数量表01'!$D$1000,COLUMN()-COLUMN($A$24)+3+34*(ROW()-ROW($A$24)),0))</f>
        <v>EHD5-2H</v>
      </c>
      <c r="H27" s="79" t="str" cm="1">
        <f t="array" ref="H27">IF(OR(C27=0,COUNTIFS(C$24:C27,0)&lt;&gt;0),"",INDEX(数量表01!$D$1:'数量表01'!$D$1000,COLUMN()-COLUMN($A$24)+3+34*(ROW()-ROW($A$24)),0))</f>
        <v>透明ｷｬｯﾌﾟ</v>
      </c>
      <c r="I27" s="79" t="str" cm="1">
        <f t="array" ref="I27">IF(OR(C27=0,COUNTIFS(C$24:C27,0)&lt;&gt;0),"",INDEX(数量表01!$D$1:'数量表01'!$D$1000,COLUMN()-COLUMN($A$24)+3+34*(ROW()-ROW($A$24)),0))</f>
        <v>のり面角度台座</v>
      </c>
      <c r="J27" s="79" t="str" cm="1">
        <f t="array" ref="J27">IF(OR(C27=0,COUNTIFS(C$24:C27,0)&lt;&gt;0),"",INDEX(数量表01!$D$1:'数量表01'!$D$1000,COLUMN()-COLUMN($A$24)+3+34*(ROW()-ROW($A$24)),0))</f>
        <v>00なし</v>
      </c>
      <c r="K27" s="80" cm="1">
        <f t="array" ref="K27">IF(OR(C27=0,COUNTIFS(C$24:C27,0)&lt;&gt;0,G27="　"),"",IF(MID(G27,4,1)="5",_xlfn.IFS(1*MID(LEFT(G27,LEN(G27)-1),6,2)&lt;8,1,1*MID(LEFT(G27,LEN(G27)-1),6,2)&lt;13,1.2),_xlfn.IFS(1*MID(LEFT(G27,LEN(G27)-1),6,2)&lt;6,1,1*MID(LEFT(G27,LEN(G27)-1),6,2)&lt;15,1.2)))</f>
        <v>1</v>
      </c>
      <c r="L27" s="106" cm="1">
        <f t="array" ref="L27">IF(OR(C27=0,COUNTIFS(C$24:C27,0)&lt;&gt;0),"",INDEX(数量表01!$D$1:'数量表01'!$D$1000,COLUMN()-COLUMN($A$24)+2+34*(ROW()-ROW($A$24)),0))</f>
        <v>0.6</v>
      </c>
      <c r="M27" s="80" cm="1">
        <f t="array" ref="M27">IF(OR(C27=0,COUNTIFS(C$24:C27,0)&lt;&gt;0),"",INDEX(数量表01!$D$1:'数量表01'!$D$1000,COLUMN()-COLUMN($A$24)+2+34*(ROW()-ROW($A$24)),0))</f>
        <v>3.4</v>
      </c>
      <c r="N27" s="106" cm="1">
        <f t="array" ref="N27">IF(OR(C27=0,COUNTIFS(C$24:C27,0)&lt;&gt;0),"",INDEX(数量表01!$D$1:'数量表01'!$D$1000,COLUMN()-COLUMN($A$24)+2+34*(ROW()-ROW($A$24)),0))</f>
        <v>3</v>
      </c>
      <c r="O27" s="107" cm="1">
        <f t="array" ref="O27">IF(OR(C27=0,COUNTIFS(C$24:C27,0)&lt;&gt;0),"",INDEX(数量表01!$D$1:'数量表01'!$D$1000,COLUMN()-COLUMN($A$24)+2+34*(ROW()-ROW($A$24)),0))</f>
        <v>90</v>
      </c>
    </row>
    <row r="28" spans="2:15" ht="11.1" customHeight="1">
      <c r="B28" s="88" cm="1">
        <f t="array" ref="B28">INDEX(数量表01!$D$1:'数量表01'!$D$1000,COLUMN()-COLUMN($A$24)+3+34*(ROW()-ROW($A$24)),0)</f>
        <v>5</v>
      </c>
      <c r="C28" s="108" cm="1">
        <f t="array" ref="C28">INDEX(数量表01!$D$1:'数量表01'!$D$1000,COLUMN()-COLUMN($A$24)+3+34*(ROW()-ROW($A$24)),0)</f>
        <v>1</v>
      </c>
      <c r="D28" s="108" t="str" cm="1">
        <f t="array" ref="D28">IF(OR(C28=0,COUNTIFS(C$24:C28,0)&lt;&gt;0),"",INDEX(数量表01!$D$1:'数量表01'!$D$1000,COLUMN()-COLUMN($A$24)+3+34*(ROW()-ROW($A$24)),0))</f>
        <v>(5)2列目：1段/4段</v>
      </c>
      <c r="E28" s="79" t="str" cm="1">
        <f t="array" ref="E28">IF(OR(C28=0,COUNTIFS(C$24:C28,0)&lt;&gt;0),"",INDEX(数量表01!$D$1:'数量表01'!$D$1000,COLUMN()-COLUMN($A$24)+3+34*(ROW()-ROW($A$24)),0))</f>
        <v>防食Ⅱ(一般環境)</v>
      </c>
      <c r="F28" s="79" cm="1">
        <f t="array" ref="F28">IF(OR(C28=0,COUNTIFS(C$24:C28,0)&lt;&gt;0),"",INDEX(数量表01!$D$1:'数量表01'!$D$1000,COLUMN()-COLUMN($A$24)+3+34*(ROW()-ROW($A$24)),0))</f>
        <v>1</v>
      </c>
      <c r="G28" s="79" t="str" cm="1">
        <f t="array" ref="G28">IF(OR(C28=0,COUNTIFS(C$24:C28,0)&lt;&gt;0),"",INDEX(数量表01!$D$1:'数量表01'!$D$1000,COLUMN()-COLUMN($A$24)+3+34*(ROW()-ROW($A$24)),0))</f>
        <v>EHD5-2H</v>
      </c>
      <c r="H28" s="79" t="str" cm="1">
        <f t="array" ref="H28">IF(OR(C28=0,COUNTIFS(C$24:C28,0)&lt;&gt;0),"",INDEX(数量表01!$D$1:'数量表01'!$D$1000,COLUMN()-COLUMN($A$24)+3+34*(ROW()-ROW($A$24)),0))</f>
        <v>透明ｷｬｯﾌﾟ</v>
      </c>
      <c r="I28" s="79" t="str" cm="1">
        <f t="array" ref="I28">IF(OR(C28=0,COUNTIFS(C$24:C28,0)&lt;&gt;0),"",INDEX(数量表01!$D$1:'数量表01'!$D$1000,COLUMN()-COLUMN($A$24)+3+34*(ROW()-ROW($A$24)),0))</f>
        <v>のり面角度台座</v>
      </c>
      <c r="J28" s="79" t="str" cm="1">
        <f t="array" ref="J28">IF(OR(C28=0,COUNTIFS(C$24:C28,0)&lt;&gt;0),"",INDEX(数量表01!$D$1:'数量表01'!$D$1000,COLUMN()-COLUMN($A$24)+3+34*(ROW()-ROW($A$24)),0))</f>
        <v>00なし</v>
      </c>
      <c r="K28" s="80" cm="1">
        <f t="array" ref="K28">IF(OR(C28=0,COUNTIFS(C$24:C28,0)&lt;&gt;0,G28="　"),"",IF(MID(G28,4,1)="5",_xlfn.IFS(1*MID(LEFT(G28,LEN(G28)-1),6,2)&lt;8,1,1*MID(LEFT(G28,LEN(G28)-1),6,2)&lt;13,1.2),_xlfn.IFS(1*MID(LEFT(G28,LEN(G28)-1),6,2)&lt;6,1,1*MID(LEFT(G28,LEN(G28)-1),6,2)&lt;15,1.2)))</f>
        <v>1</v>
      </c>
      <c r="L28" s="106" cm="1">
        <f t="array" ref="L28">IF(OR(C28=0,COUNTIFS(C$24:C28,0)&lt;&gt;0),"",INDEX(数量表01!$D$1:'数量表01'!$D$1000,COLUMN()-COLUMN($A$24)+2+34*(ROW()-ROW($A$24)),0))</f>
        <v>0.6</v>
      </c>
      <c r="M28" s="80" cm="1">
        <f t="array" ref="M28">IF(OR(C28=0,COUNTIFS(C$24:C28,0)&lt;&gt;0),"",INDEX(数量表01!$D$1:'数量表01'!$D$1000,COLUMN()-COLUMN($A$24)+2+34*(ROW()-ROW($A$24)),0))</f>
        <v>10.4</v>
      </c>
      <c r="N28" s="106" cm="1">
        <f t="array" ref="N28">IF(OR(C28=0,COUNTIFS(C$24:C28,0)&lt;&gt;0),"",INDEX(数量表01!$D$1:'数量表01'!$D$1000,COLUMN()-COLUMN($A$24)+2+34*(ROW()-ROW($A$24)),0))</f>
        <v>3</v>
      </c>
      <c r="O28" s="107" cm="1">
        <f t="array" ref="O28">IF(OR(C28=0,COUNTIFS(C$24:C28,0)&lt;&gt;0),"",INDEX(数量表01!$D$1:'数量表01'!$D$1000,COLUMN()-COLUMN($A$24)+2+34*(ROW()-ROW($A$24)),0))</f>
        <v>90</v>
      </c>
    </row>
    <row r="29" spans="2:15" ht="11.1" customHeight="1">
      <c r="B29" s="88" cm="1">
        <f t="array" ref="B29">INDEX(数量表01!$D$1:'数量表01'!$D$1000,COLUMN()-COLUMN($A$24)+3+34*(ROW()-ROW($A$24)),0)</f>
        <v>6</v>
      </c>
      <c r="C29" s="108" cm="1">
        <f t="array" ref="C29">INDEX(数量表01!$D$1:'数量表01'!$D$1000,COLUMN()-COLUMN($A$24)+3+34*(ROW()-ROW($A$24)),0)</f>
        <v>1</v>
      </c>
      <c r="D29" s="108" t="str" cm="1">
        <f t="array" ref="D29">IF(OR(C29=0,COUNTIFS(C$24:C29,0)&lt;&gt;0),"",INDEX(数量表01!$D$1:'数量表01'!$D$1000,COLUMN()-COLUMN($A$24)+3+34*(ROW()-ROW($A$24)),0))</f>
        <v>(6)2列目：2段/4段</v>
      </c>
      <c r="E29" s="79" t="str" cm="1">
        <f t="array" ref="E29">IF(OR(C29=0,COUNTIFS(C$24:C29,0)&lt;&gt;0),"",INDEX(数量表01!$D$1:'数量表01'!$D$1000,COLUMN()-COLUMN($A$24)+3+34*(ROW()-ROW($A$24)),0))</f>
        <v>防食Ⅱ(一般環境)</v>
      </c>
      <c r="F29" s="79" cm="1">
        <f t="array" ref="F29">IF(OR(C29=0,COUNTIFS(C$24:C29,0)&lt;&gt;0),"",INDEX(数量表01!$D$1:'数量表01'!$D$1000,COLUMN()-COLUMN($A$24)+3+34*(ROW()-ROW($A$24)),0))</f>
        <v>1</v>
      </c>
      <c r="G29" s="79" t="str" cm="1">
        <f t="array" ref="G29">IF(OR(C29=0,COUNTIFS(C$24:C29,0)&lt;&gt;0),"",INDEX(数量表01!$D$1:'数量表01'!$D$1000,COLUMN()-COLUMN($A$24)+3+34*(ROW()-ROW($A$24)),0))</f>
        <v>EHD5-2H</v>
      </c>
      <c r="H29" s="79" t="str" cm="1">
        <f t="array" ref="H29">IF(OR(C29=0,COUNTIFS(C$24:C29,0)&lt;&gt;0),"",INDEX(数量表01!$D$1:'数量表01'!$D$1000,COLUMN()-COLUMN($A$24)+3+34*(ROW()-ROW($A$24)),0))</f>
        <v>透明ｷｬｯﾌﾟ</v>
      </c>
      <c r="I29" s="79" t="str" cm="1">
        <f t="array" ref="I29">IF(OR(C29=0,COUNTIFS(C$24:C29,0)&lt;&gt;0),"",INDEX(数量表01!$D$1:'数量表01'!$D$1000,COLUMN()-COLUMN($A$24)+3+34*(ROW()-ROW($A$24)),0))</f>
        <v>のり面角度台座</v>
      </c>
      <c r="J29" s="79" t="str" cm="1">
        <f t="array" ref="J29">IF(OR(C29=0,COUNTIFS(C$24:C29,0)&lt;&gt;0),"",INDEX(数量表01!$D$1:'数量表01'!$D$1000,COLUMN()-COLUMN($A$24)+3+34*(ROW()-ROW($A$24)),0))</f>
        <v>00なし</v>
      </c>
      <c r="K29" s="80" cm="1">
        <f t="array" ref="K29">IF(OR(C29=0,COUNTIFS(C$24:C29,0)&lt;&gt;0,G29="　"),"",IF(MID(G29,4,1)="5",_xlfn.IFS(1*MID(LEFT(G29,LEN(G29)-1),6,2)&lt;8,1,1*MID(LEFT(G29,LEN(G29)-1),6,2)&lt;13,1.2),_xlfn.IFS(1*MID(LEFT(G29,LEN(G29)-1),6,2)&lt;6,1,1*MID(LEFT(G29,LEN(G29)-1),6,2)&lt;15,1.2)))</f>
        <v>1</v>
      </c>
      <c r="L29" s="106" cm="1">
        <f t="array" ref="L29">IF(OR(C29=0,COUNTIFS(C$24:C29,0)&lt;&gt;0),"",INDEX(数量表01!$D$1:'数量表01'!$D$1000,COLUMN()-COLUMN($A$24)+2+34*(ROW()-ROW($A$24)),0))</f>
        <v>0.6</v>
      </c>
      <c r="M29" s="80" cm="1">
        <f t="array" ref="M29">IF(OR(C29=0,COUNTIFS(C$24:C29,0)&lt;&gt;0),"",INDEX(数量表01!$D$1:'数量表01'!$D$1000,COLUMN()-COLUMN($A$24)+2+34*(ROW()-ROW($A$24)),0))</f>
        <v>6.9</v>
      </c>
      <c r="N29" s="106" cm="1">
        <f t="array" ref="N29">IF(OR(C29=0,COUNTIFS(C$24:C29,0)&lt;&gt;0),"",INDEX(数量表01!$D$1:'数量表01'!$D$1000,COLUMN()-COLUMN($A$24)+2+34*(ROW()-ROW($A$24)),0))</f>
        <v>3</v>
      </c>
      <c r="O29" s="107" cm="1">
        <f t="array" ref="O29">IF(OR(C29=0,COUNTIFS(C$24:C29,0)&lt;&gt;0),"",INDEX(数量表01!$D$1:'数量表01'!$D$1000,COLUMN()-COLUMN($A$24)+2+34*(ROW()-ROW($A$24)),0))</f>
        <v>90</v>
      </c>
    </row>
    <row r="30" spans="2:15" ht="11.1" customHeight="1">
      <c r="B30" s="88" cm="1">
        <f t="array" ref="B30">INDEX(数量表01!$D$1:'数量表01'!$D$1000,COLUMN()-COLUMN($A$24)+3+34*(ROW()-ROW($A$24)),0)</f>
        <v>7</v>
      </c>
      <c r="C30" s="108" cm="1">
        <f t="array" ref="C30">INDEX(数量表01!$D$1:'数量表01'!$D$1000,COLUMN()-COLUMN($A$24)+3+34*(ROW()-ROW($A$24)),0)</f>
        <v>1</v>
      </c>
      <c r="D30" s="108" t="str" cm="1">
        <f t="array" ref="D30">IF(OR(C30=0,COUNTIFS(C$24:C30,0)&lt;&gt;0),"",INDEX(数量表01!$D$1:'数量表01'!$D$1000,COLUMN()-COLUMN($A$24)+3+34*(ROW()-ROW($A$24)),0))</f>
        <v>(7)2列目：3段/4段</v>
      </c>
      <c r="E30" s="79" t="str" cm="1">
        <f t="array" ref="E30">IF(OR(C30=0,COUNTIFS(C$24:C30,0)&lt;&gt;0),"",INDEX(数量表01!$D$1:'数量表01'!$D$1000,COLUMN()-COLUMN($A$24)+3+34*(ROW()-ROW($A$24)),0))</f>
        <v>防食Ⅱ(一般環境)</v>
      </c>
      <c r="F30" s="79" cm="1">
        <f t="array" ref="F30">IF(OR(C30=0,COUNTIFS(C$24:C30,0)&lt;&gt;0),"",INDEX(数量表01!$D$1:'数量表01'!$D$1000,COLUMN()-COLUMN($A$24)+3+34*(ROW()-ROW($A$24)),0))</f>
        <v>1</v>
      </c>
      <c r="G30" s="79" t="str" cm="1">
        <f t="array" ref="G30">IF(OR(C30=0,COUNTIFS(C$24:C30,0)&lt;&gt;0),"",INDEX(数量表01!$D$1:'数量表01'!$D$1000,COLUMN()-COLUMN($A$24)+3+34*(ROW()-ROW($A$24)),0))</f>
        <v>EHD5-2H</v>
      </c>
      <c r="H30" s="79" t="str" cm="1">
        <f t="array" ref="H30">IF(OR(C30=0,COUNTIFS(C$24:C30,0)&lt;&gt;0),"",INDEX(数量表01!$D$1:'数量表01'!$D$1000,COLUMN()-COLUMN($A$24)+3+34*(ROW()-ROW($A$24)),0))</f>
        <v>透明ｷｬｯﾌﾟ</v>
      </c>
      <c r="I30" s="79" t="str" cm="1">
        <f t="array" ref="I30">IF(OR(C30=0,COUNTIFS(C$24:C30,0)&lt;&gt;0),"",INDEX(数量表01!$D$1:'数量表01'!$D$1000,COLUMN()-COLUMN($A$24)+3+34*(ROW()-ROW($A$24)),0))</f>
        <v>のり面角度台座</v>
      </c>
      <c r="J30" s="79" t="str" cm="1">
        <f t="array" ref="J30">IF(OR(C30=0,COUNTIFS(C$24:C30,0)&lt;&gt;0),"",INDEX(数量表01!$D$1:'数量表01'!$D$1000,COLUMN()-COLUMN($A$24)+3+34*(ROW()-ROW($A$24)),0))</f>
        <v>00なし</v>
      </c>
      <c r="K30" s="80" cm="1">
        <f t="array" ref="K30">IF(OR(C30=0,COUNTIFS(C$24:C30,0)&lt;&gt;0,G30="　"),"",IF(MID(G30,4,1)="5",_xlfn.IFS(1*MID(LEFT(G30,LEN(G30)-1),6,2)&lt;8,1,1*MID(LEFT(G30,LEN(G30)-1),6,2)&lt;13,1.2),_xlfn.IFS(1*MID(LEFT(G30,LEN(G30)-1),6,2)&lt;6,1,1*MID(LEFT(G30,LEN(G30)-1),6,2)&lt;15,1.2)))</f>
        <v>1</v>
      </c>
      <c r="L30" s="106" cm="1">
        <f t="array" ref="L30">IF(OR(C30=0,COUNTIFS(C$24:C30,0)&lt;&gt;0),"",INDEX(数量表01!$D$1:'数量表01'!$D$1000,COLUMN()-COLUMN($A$24)+2+34*(ROW()-ROW($A$24)),0))</f>
        <v>0.6</v>
      </c>
      <c r="M30" s="80" cm="1">
        <f t="array" ref="M30">IF(OR(C30=0,COUNTIFS(C$24:C30,0)&lt;&gt;0),"",INDEX(数量表01!$D$1:'数量表01'!$D$1000,COLUMN()-COLUMN($A$24)+2+34*(ROW()-ROW($A$24)),0))</f>
        <v>3.9</v>
      </c>
      <c r="N30" s="106" cm="1">
        <f t="array" ref="N30">IF(OR(C30=0,COUNTIFS(C$24:C30,0)&lt;&gt;0),"",INDEX(数量表01!$D$1:'数量表01'!$D$1000,COLUMN()-COLUMN($A$24)+2+34*(ROW()-ROW($A$24)),0))</f>
        <v>3</v>
      </c>
      <c r="O30" s="107" cm="1">
        <f t="array" ref="O30">IF(OR(C30=0,COUNTIFS(C$24:C30,0)&lt;&gt;0),"",INDEX(数量表01!$D$1:'数量表01'!$D$1000,COLUMN()-COLUMN($A$24)+2+34*(ROW()-ROW($A$24)),0))</f>
        <v>90</v>
      </c>
    </row>
    <row r="31" spans="2:15" ht="11.1" customHeight="1">
      <c r="B31" s="88" cm="1">
        <f t="array" ref="B31">INDEX(数量表01!$D$1:'数量表01'!$D$1000,COLUMN()-COLUMN($A$24)+3+34*(ROW()-ROW($A$24)),0)</f>
        <v>8</v>
      </c>
      <c r="C31" s="108" cm="1">
        <f t="array" ref="C31">INDEX(数量表01!$D$1:'数量表01'!$D$1000,COLUMN()-COLUMN($A$24)+3+34*(ROW()-ROW($A$24)),0)</f>
        <v>1</v>
      </c>
      <c r="D31" s="108" t="str" cm="1">
        <f t="array" ref="D31">IF(OR(C31=0,COUNTIFS(C$24:C31,0)&lt;&gt;0),"",INDEX(数量表01!$D$1:'数量表01'!$D$1000,COLUMN()-COLUMN($A$24)+3+34*(ROW()-ROW($A$24)),0))</f>
        <v>(8)2列目：4段/4段</v>
      </c>
      <c r="E31" s="79" t="str" cm="1">
        <f t="array" ref="E31">IF(OR(C31=0,COUNTIFS(C$24:C31,0)&lt;&gt;0),"",INDEX(数量表01!$D$1:'数量表01'!$D$1000,COLUMN()-COLUMN($A$24)+3+34*(ROW()-ROW($A$24)),0))</f>
        <v>防食Ⅱ(一般環境)</v>
      </c>
      <c r="F31" s="79" cm="1">
        <f t="array" ref="F31">IF(OR(C31=0,COUNTIFS(C$24:C31,0)&lt;&gt;0),"",INDEX(数量表01!$D$1:'数量表01'!$D$1000,COLUMN()-COLUMN($A$24)+3+34*(ROW()-ROW($A$24)),0))</f>
        <v>1</v>
      </c>
      <c r="G31" s="79" t="str" cm="1">
        <f t="array" ref="G31">IF(OR(C31=0,COUNTIFS(C$24:C31,0)&lt;&gt;0),"",INDEX(数量表01!$D$1:'数量表01'!$D$1000,COLUMN()-COLUMN($A$24)+3+34*(ROW()-ROW($A$24)),0))</f>
        <v>EHD5-2H</v>
      </c>
      <c r="H31" s="79" t="str" cm="1">
        <f t="array" ref="H31">IF(OR(C31=0,COUNTIFS(C$24:C31,0)&lt;&gt;0),"",INDEX(数量表01!$D$1:'数量表01'!$D$1000,COLUMN()-COLUMN($A$24)+3+34*(ROW()-ROW($A$24)),0))</f>
        <v>透明ｷｬｯﾌﾟ</v>
      </c>
      <c r="I31" s="79" t="str" cm="1">
        <f t="array" ref="I31">IF(OR(C31=0,COUNTIFS(C$24:C31,0)&lt;&gt;0),"",INDEX(数量表01!$D$1:'数量表01'!$D$1000,COLUMN()-COLUMN($A$24)+3+34*(ROW()-ROW($A$24)),0))</f>
        <v>のり面角度台座</v>
      </c>
      <c r="J31" s="79" t="str" cm="1">
        <f t="array" ref="J31">IF(OR(C31=0,COUNTIFS(C$24:C31,0)&lt;&gt;0),"",INDEX(数量表01!$D$1:'数量表01'!$D$1000,COLUMN()-COLUMN($A$24)+3+34*(ROW()-ROW($A$24)),0))</f>
        <v>00なし</v>
      </c>
      <c r="K31" s="80" cm="1">
        <f t="array" ref="K31">IF(OR(C31=0,COUNTIFS(C$24:C31,0)&lt;&gt;0,G31="　"),"",IF(MID(G31,4,1)="5",_xlfn.IFS(1*MID(LEFT(G31,LEN(G31)-1),6,2)&lt;8,1,1*MID(LEFT(G31,LEN(G31)-1),6,2)&lt;13,1.2),_xlfn.IFS(1*MID(LEFT(G31,LEN(G31)-1),6,2)&lt;6,1,1*MID(LEFT(G31,LEN(G31)-1),6,2)&lt;15,1.2)))</f>
        <v>1</v>
      </c>
      <c r="L31" s="106" cm="1">
        <f t="array" ref="L31">IF(OR(C31=0,COUNTIFS(C$24:C31,0)&lt;&gt;0),"",INDEX(数量表01!$D$1:'数量表01'!$D$1000,COLUMN()-COLUMN($A$24)+2+34*(ROW()-ROW($A$24)),0))</f>
        <v>0.6</v>
      </c>
      <c r="M31" s="80" cm="1">
        <f t="array" ref="M31">IF(OR(C31=0,COUNTIFS(C$24:C31,0)&lt;&gt;0),"",INDEX(数量表01!$D$1:'数量表01'!$D$1000,COLUMN()-COLUMN($A$24)+2+34*(ROW()-ROW($A$24)),0))</f>
        <v>3.4</v>
      </c>
      <c r="N31" s="106" cm="1">
        <f t="array" ref="N31">IF(OR(C31=0,COUNTIFS(C$24:C31,0)&lt;&gt;0),"",INDEX(数量表01!$D$1:'数量表01'!$D$1000,COLUMN()-COLUMN($A$24)+2+34*(ROW()-ROW($A$24)),0))</f>
        <v>3</v>
      </c>
      <c r="O31" s="107" cm="1">
        <f t="array" ref="O31">IF(OR(C31=0,COUNTIFS(C$24:C31,0)&lt;&gt;0),"",INDEX(数量表01!$D$1:'数量表01'!$D$1000,COLUMN()-COLUMN($A$24)+2+34*(ROW()-ROW($A$24)),0))</f>
        <v>90</v>
      </c>
    </row>
    <row r="32" spans="2:15" ht="11.1" customHeight="1">
      <c r="B32" s="88" cm="1">
        <f t="array" ref="B32">INDEX(数量表01!$D$1:'数量表01'!$D$1000,COLUMN()-COLUMN($A$24)+3+34*(ROW()-ROW($A$24)),0)</f>
        <v>9</v>
      </c>
      <c r="C32" s="108" cm="1">
        <f t="array" ref="C32">INDEX(数量表01!$D$1:'数量表01'!$D$1000,COLUMN()-COLUMN($A$24)+3+34*(ROW()-ROW($A$24)),0)</f>
        <v>0</v>
      </c>
      <c r="D32" s="108" t="str" cm="1">
        <f t="array" ref="D32">IF(OR(C32=0,COUNTIFS(C$24:C32,0)&lt;&gt;0),"",INDEX(数量表01!$D$1:'数量表01'!$D$1000,COLUMN()-COLUMN($A$24)+3+34*(ROW()-ROW($A$24)),0))</f>
        <v/>
      </c>
      <c r="E32" s="79" t="str" cm="1">
        <f t="array" ref="E32">IF(OR(C32=0,COUNTIFS(C$24:C32,0)&lt;&gt;0),"",INDEX(数量表01!$D$1:'数量表01'!$D$1000,COLUMN()-COLUMN($A$24)+3+34*(ROW()-ROW($A$24)),0))</f>
        <v/>
      </c>
      <c r="F32" s="79" t="str" cm="1">
        <f t="array" ref="F32">IF(OR(C32=0,COUNTIFS(C$24:C32,0)&lt;&gt;0),"",INDEX(数量表01!$D$1:'数量表01'!$D$1000,COLUMN()-COLUMN($A$24)+3+34*(ROW()-ROW($A$24)),0))</f>
        <v/>
      </c>
      <c r="G32" s="79" t="str" cm="1">
        <f t="array" ref="G32">IF(OR(C32=0,COUNTIFS(C$24:C32,0)&lt;&gt;0),"",INDEX(数量表01!$D$1:'数量表01'!$D$1000,COLUMN()-COLUMN($A$24)+3+34*(ROW()-ROW($A$24)),0))</f>
        <v/>
      </c>
      <c r="H32" s="79" t="str" cm="1">
        <f t="array" ref="H32">IF(OR(C32=0,COUNTIFS(C$24:C32,0)&lt;&gt;0),"",INDEX(数量表01!$D$1:'数量表01'!$D$1000,COLUMN()-COLUMN($A$24)+3+34*(ROW()-ROW($A$24)),0))</f>
        <v/>
      </c>
      <c r="I32" s="79" t="str" cm="1">
        <f t="array" ref="I32">IF(OR(C32=0,COUNTIFS(C$24:C32,0)&lt;&gt;0),"",INDEX(数量表01!$D$1:'数量表01'!$D$1000,COLUMN()-COLUMN($A$24)+3+34*(ROW()-ROW($A$24)),0))</f>
        <v/>
      </c>
      <c r="J32" s="79" t="str" cm="1">
        <f t="array" ref="J32">IF(OR(C32=0,COUNTIFS(C$24:C32,0)&lt;&gt;0),"",INDEX(数量表01!$D$1:'数量表01'!$D$1000,COLUMN()-COLUMN($A$24)+3+34*(ROW()-ROW($A$24)),0))</f>
        <v/>
      </c>
      <c r="K32" s="80" t="str" cm="1">
        <f t="array" ref="K32">IF(OR(C32=0,COUNTIFS(C$24:C32,0)&lt;&gt;0,G32="　"),"",IF(MID(G32,4,1)="5",_xlfn.IFS(1*MID(LEFT(G32,LEN(G32)-1),6,2)&lt;8,1,1*MID(LEFT(G32,LEN(G32)-1),6,2)&lt;13,1.2),_xlfn.IFS(1*MID(LEFT(G32,LEN(G32)-1),6,2)&lt;6,1,1*MID(LEFT(G32,LEN(G32)-1),6,2)&lt;15,1.2)))</f>
        <v/>
      </c>
      <c r="L32" s="106" t="str" cm="1">
        <f t="array" ref="L32">IF(OR(C32=0,COUNTIFS(C$24:C32,0)&lt;&gt;0),"",INDEX(数量表01!$D$1:'数量表01'!$D$1000,COLUMN()-COLUMN($A$24)+2+34*(ROW()-ROW($A$24)),0))</f>
        <v/>
      </c>
      <c r="M32" s="80" t="str" cm="1">
        <f t="array" ref="M32">IF(OR(C32=0,COUNTIFS(C$24:C32,0)&lt;&gt;0),"",INDEX(数量表01!$D$1:'数量表01'!$D$1000,COLUMN()-COLUMN($A$24)+2+34*(ROW()-ROW($A$24)),0))</f>
        <v/>
      </c>
      <c r="N32" s="106" t="str" cm="1">
        <f t="array" ref="N32">IF(OR(C32=0,COUNTIFS(C$24:C32,0)&lt;&gt;0),"",INDEX(数量表01!$D$1:'数量表01'!$D$1000,COLUMN()-COLUMN($A$24)+2+34*(ROW()-ROW($A$24)),0))</f>
        <v/>
      </c>
      <c r="O32" s="107" t="str" cm="1">
        <f t="array" ref="O32">IF(OR(C32=0,COUNTIFS(C$24:C32,0)&lt;&gt;0),"",INDEX(数量表01!$D$1:'数量表01'!$D$1000,COLUMN()-COLUMN($A$24)+2+34*(ROW()-ROW($A$24)),0))</f>
        <v/>
      </c>
    </row>
    <row r="33" spans="2:15" ht="11.1" customHeight="1">
      <c r="B33" s="88" cm="1">
        <f t="array" ref="B33">INDEX(数量表01!$D$1:'数量表01'!$D$1000,COLUMN()-COLUMN($A$24)+3+34*(ROW()-ROW($A$24)),0)</f>
        <v>10</v>
      </c>
      <c r="C33" s="108" cm="1">
        <f t="array" ref="C33">INDEX(数量表01!$D$1:'数量表01'!$D$1000,COLUMN()-COLUMN($A$24)+3+34*(ROW()-ROW($A$24)),0)</f>
        <v>1</v>
      </c>
      <c r="D33" s="108" t="str" cm="1">
        <f t="array" ref="D33">IF(OR(C33=0,COUNTIFS(C$24:C33,0)&lt;&gt;0),"",INDEX(数量表01!$D$1:'数量表01'!$D$1000,COLUMN()-COLUMN($A$24)+3+34*(ROW()-ROW($A$24)),0))</f>
        <v/>
      </c>
      <c r="E33" s="79" t="str" cm="1">
        <f t="array" ref="E33">IF(OR(C33=0,COUNTIFS(C$24:C33,0)&lt;&gt;0),"",INDEX(数量表01!$D$1:'数量表01'!$D$1000,COLUMN()-COLUMN($A$24)+3+34*(ROW()-ROW($A$24)),0))</f>
        <v/>
      </c>
      <c r="F33" s="79" t="str" cm="1">
        <f t="array" ref="F33">IF(OR(C33=0,COUNTIFS(C$24:C33,0)&lt;&gt;0),"",INDEX(数量表01!$D$1:'数量表01'!$D$1000,COLUMN()-COLUMN($A$24)+3+34*(ROW()-ROW($A$24)),0))</f>
        <v/>
      </c>
      <c r="G33" s="79" t="str" cm="1">
        <f t="array" ref="G33">IF(OR(C33=0,COUNTIFS(C$24:C33,0)&lt;&gt;0),"",INDEX(数量表01!$D$1:'数量表01'!$D$1000,COLUMN()-COLUMN($A$24)+3+34*(ROW()-ROW($A$24)),0))</f>
        <v/>
      </c>
      <c r="H33" s="79" t="str" cm="1">
        <f t="array" ref="H33">IF(OR(C33=0,COUNTIFS(C$24:C33,0)&lt;&gt;0),"",INDEX(数量表01!$D$1:'数量表01'!$D$1000,COLUMN()-COLUMN($A$24)+3+34*(ROW()-ROW($A$24)),0))</f>
        <v/>
      </c>
      <c r="I33" s="79" t="str" cm="1">
        <f t="array" ref="I33">IF(OR(C33=0,COUNTIFS(C$24:C33,0)&lt;&gt;0),"",INDEX(数量表01!$D$1:'数量表01'!$D$1000,COLUMN()-COLUMN($A$24)+3+34*(ROW()-ROW($A$24)),0))</f>
        <v/>
      </c>
      <c r="J33" s="79" t="str" cm="1">
        <f t="array" ref="J33">IF(OR(C33=0,COUNTIFS(C$24:C33,0)&lt;&gt;0),"",INDEX(数量表01!$D$1:'数量表01'!$D$1000,COLUMN()-COLUMN($A$24)+3+34*(ROW()-ROW($A$24)),0))</f>
        <v/>
      </c>
      <c r="K33" s="80" t="str" cm="1">
        <f t="array" ref="K33">IF(OR(C33=0,COUNTIFS(C$24:C33,0)&lt;&gt;0,G33="　"),"",IF(MID(G33,4,1)="5",_xlfn.IFS(1*MID(LEFT(G33,LEN(G33)-1),6,2)&lt;8,1,1*MID(LEFT(G33,LEN(G33)-1),6,2)&lt;13,1.2),_xlfn.IFS(1*MID(LEFT(G33,LEN(G33)-1),6,2)&lt;6,1,1*MID(LEFT(G33,LEN(G33)-1),6,2)&lt;15,1.2)))</f>
        <v/>
      </c>
      <c r="L33" s="106" t="str" cm="1">
        <f t="array" ref="L33">IF(OR(C33=0,COUNTIFS(C$24:C33,0)&lt;&gt;0),"",INDEX(数量表01!$D$1:'数量表01'!$D$1000,COLUMN()-COLUMN($A$24)+2+34*(ROW()-ROW($A$24)),0))</f>
        <v/>
      </c>
      <c r="M33" s="80" t="str" cm="1">
        <f t="array" ref="M33">IF(OR(C33=0,COUNTIFS(C$24:C33,0)&lt;&gt;0),"",INDEX(数量表01!$D$1:'数量表01'!$D$1000,COLUMN()-COLUMN($A$24)+2+34*(ROW()-ROW($A$24)),0))</f>
        <v/>
      </c>
      <c r="N33" s="106" t="str" cm="1">
        <f t="array" ref="N33">IF(OR(C33=0,COUNTIFS(C$24:C33,0)&lt;&gt;0),"",INDEX(数量表01!$D$1:'数量表01'!$D$1000,COLUMN()-COLUMN($A$24)+2+34*(ROW()-ROW($A$24)),0))</f>
        <v/>
      </c>
      <c r="O33" s="107" t="str" cm="1">
        <f t="array" ref="O33">IF(OR(C33=0,COUNTIFS(C$24:C33,0)&lt;&gt;0),"",INDEX(数量表01!$D$1:'数量表01'!$D$1000,COLUMN()-COLUMN($A$24)+2+34*(ROW()-ROW($A$24)),0))</f>
        <v/>
      </c>
    </row>
    <row r="34" spans="2:15" ht="11.1" customHeight="1">
      <c r="B34" s="88" cm="1">
        <f t="array" ref="B34">INDEX(数量表01!$D$1:'数量表01'!$D$1000,COLUMN()-COLUMN($A$24)+3+34*(ROW()-ROW($A$24)),0)</f>
        <v>11</v>
      </c>
      <c r="C34" s="108" cm="1">
        <f t="array" ref="C34">INDEX(数量表01!$D$1:'数量表01'!$D$1000,COLUMN()-COLUMN($A$24)+3+34*(ROW()-ROW($A$24)),0)</f>
        <v>1</v>
      </c>
      <c r="D34" s="108" t="str" cm="1">
        <f t="array" ref="D34">IF(OR(C34=0,COUNTIFS(C$24:C34,0)&lt;&gt;0),"",INDEX(数量表01!$D$1:'数量表01'!$D$1000,COLUMN()-COLUMN($A$24)+3+34*(ROW()-ROW($A$24)),0))</f>
        <v/>
      </c>
      <c r="E34" s="79" t="str" cm="1">
        <f t="array" ref="E34">IF(OR(C34=0,COUNTIFS(C$24:C34,0)&lt;&gt;0),"",INDEX(数量表01!$D$1:'数量表01'!$D$1000,COLUMN()-COLUMN($A$24)+3+34*(ROW()-ROW($A$24)),0))</f>
        <v/>
      </c>
      <c r="F34" s="79" t="str" cm="1">
        <f t="array" ref="F34">IF(OR(C34=0,COUNTIFS(C$24:C34,0)&lt;&gt;0),"",INDEX(数量表01!$D$1:'数量表01'!$D$1000,COLUMN()-COLUMN($A$24)+3+34*(ROW()-ROW($A$24)),0))</f>
        <v/>
      </c>
      <c r="G34" s="79" t="str" cm="1">
        <f t="array" ref="G34">IF(OR(C34=0,COUNTIFS(C$24:C34,0)&lt;&gt;0),"",INDEX(数量表01!$D$1:'数量表01'!$D$1000,COLUMN()-COLUMN($A$24)+3+34*(ROW()-ROW($A$24)),0))</f>
        <v/>
      </c>
      <c r="H34" s="79" t="str" cm="1">
        <f t="array" ref="H34">IF(OR(C34=0,COUNTIFS(C$24:C34,0)&lt;&gt;0),"",INDEX(数量表01!$D$1:'数量表01'!$D$1000,COLUMN()-COLUMN($A$24)+3+34*(ROW()-ROW($A$24)),0))</f>
        <v/>
      </c>
      <c r="I34" s="79" t="str" cm="1">
        <f t="array" ref="I34">IF(OR(C34=0,COUNTIFS(C$24:C34,0)&lt;&gt;0),"",INDEX(数量表01!$D$1:'数量表01'!$D$1000,COLUMN()-COLUMN($A$24)+3+34*(ROW()-ROW($A$24)),0))</f>
        <v/>
      </c>
      <c r="J34" s="79" t="str" cm="1">
        <f t="array" ref="J34">IF(OR(C34=0,COUNTIFS(C$24:C34,0)&lt;&gt;0),"",INDEX(数量表01!$D$1:'数量表01'!$D$1000,COLUMN()-COLUMN($A$24)+3+34*(ROW()-ROW($A$24)),0))</f>
        <v/>
      </c>
      <c r="K34" s="80" t="str" cm="1">
        <f t="array" ref="K34">IF(OR(C34=0,COUNTIFS(C$24:C34,0)&lt;&gt;0,G34="　"),"",IF(MID(G34,4,1)="5",_xlfn.IFS(1*MID(LEFT(G34,LEN(G34)-1),6,2)&lt;8,1,1*MID(LEFT(G34,LEN(G34)-1),6,2)&lt;13,1.2),_xlfn.IFS(1*MID(LEFT(G34,LEN(G34)-1),6,2)&lt;6,1,1*MID(LEFT(G34,LEN(G34)-1),6,2)&lt;15,1.2)))</f>
        <v/>
      </c>
      <c r="L34" s="106" t="str" cm="1">
        <f t="array" ref="L34">IF(OR(C34=0,COUNTIFS(C$24:C34,0)&lt;&gt;0),"",INDEX(数量表01!$D$1:'数量表01'!$D$1000,COLUMN()-COLUMN($A$24)+2+34*(ROW()-ROW($A$24)),0))</f>
        <v/>
      </c>
      <c r="M34" s="80" t="str" cm="1">
        <f t="array" ref="M34">IF(OR(C34=0,COUNTIFS(C$24:C34,0)&lt;&gt;0),"",INDEX(数量表01!$D$1:'数量表01'!$D$1000,COLUMN()-COLUMN($A$24)+2+34*(ROW()-ROW($A$24)),0))</f>
        <v/>
      </c>
      <c r="N34" s="106" t="str" cm="1">
        <f t="array" ref="N34">IF(OR(C34=0,COUNTIFS(C$24:C34,0)&lt;&gt;0),"",INDEX(数量表01!$D$1:'数量表01'!$D$1000,COLUMN()-COLUMN($A$24)+2+34*(ROW()-ROW($A$24)),0))</f>
        <v/>
      </c>
      <c r="O34" s="107" t="str" cm="1">
        <f t="array" ref="O34">IF(OR(C34=0,COUNTIFS(C$24:C34,0)&lt;&gt;0),"",INDEX(数量表01!$D$1:'数量表01'!$D$1000,COLUMN()-COLUMN($A$24)+2+34*(ROW()-ROW($A$24)),0))</f>
        <v/>
      </c>
    </row>
    <row r="35" spans="2:15" ht="11.1" customHeight="1">
      <c r="B35" s="88" cm="1">
        <f t="array" ref="B35">INDEX(数量表01!$D$1:'数量表01'!$D$1000,COLUMN()-COLUMN($A$24)+3+34*(ROW()-ROW($A$24)),0)</f>
        <v>12</v>
      </c>
      <c r="C35" s="108" cm="1">
        <f t="array" ref="C35">INDEX(数量表01!$D$1:'数量表01'!$D$1000,COLUMN()-COLUMN($A$24)+3+34*(ROW()-ROW($A$24)),0)</f>
        <v>1</v>
      </c>
      <c r="D35" s="108" t="str" cm="1">
        <f t="array" ref="D35">IF(OR(C35=0,COUNTIFS(C$24:C35,0)&lt;&gt;0),"",INDEX(数量表01!$D$1:'数量表01'!$D$1000,COLUMN()-COLUMN($A$24)+3+34*(ROW()-ROW($A$24)),0))</f>
        <v/>
      </c>
      <c r="E35" s="79" t="str" cm="1">
        <f t="array" ref="E35">IF(OR(C35=0,COUNTIFS(C$24:C35,0)&lt;&gt;0),"",INDEX(数量表01!$D$1:'数量表01'!$D$1000,COLUMN()-COLUMN($A$24)+3+34*(ROW()-ROW($A$24)),0))</f>
        <v/>
      </c>
      <c r="F35" s="79" t="str" cm="1">
        <f t="array" ref="F35">IF(OR(C35=0,COUNTIFS(C$24:C35,0)&lt;&gt;0),"",INDEX(数量表01!$D$1:'数量表01'!$D$1000,COLUMN()-COLUMN($A$24)+3+34*(ROW()-ROW($A$24)),0))</f>
        <v/>
      </c>
      <c r="G35" s="79" t="str" cm="1">
        <f t="array" ref="G35">IF(OR(C35=0,COUNTIFS(C$24:C35,0)&lt;&gt;0),"",INDEX(数量表01!$D$1:'数量表01'!$D$1000,COLUMN()-COLUMN($A$24)+3+34*(ROW()-ROW($A$24)),0))</f>
        <v/>
      </c>
      <c r="H35" s="79" t="str" cm="1">
        <f t="array" ref="H35">IF(OR(C35=0,COUNTIFS(C$24:C35,0)&lt;&gt;0),"",INDEX(数量表01!$D$1:'数量表01'!$D$1000,COLUMN()-COLUMN($A$24)+3+34*(ROW()-ROW($A$24)),0))</f>
        <v/>
      </c>
      <c r="I35" s="79" t="str" cm="1">
        <f t="array" ref="I35">IF(OR(C35=0,COUNTIFS(C$24:C35,0)&lt;&gt;0),"",INDEX(数量表01!$D$1:'数量表01'!$D$1000,COLUMN()-COLUMN($A$24)+3+34*(ROW()-ROW($A$24)),0))</f>
        <v/>
      </c>
      <c r="J35" s="79" t="str" cm="1">
        <f t="array" ref="J35">IF(OR(C35=0,COUNTIFS(C$24:C35,0)&lt;&gt;0),"",INDEX(数量表01!$D$1:'数量表01'!$D$1000,COLUMN()-COLUMN($A$24)+3+34*(ROW()-ROW($A$24)),0))</f>
        <v/>
      </c>
      <c r="K35" s="80" t="str" cm="1">
        <f t="array" ref="K35">IF(OR(C35=0,COUNTIFS(C$24:C35,0)&lt;&gt;0,G35="　"),"",IF(MID(G35,4,1)="5",_xlfn.IFS(1*MID(LEFT(G35,LEN(G35)-1),6,2)&lt;8,1,1*MID(LEFT(G35,LEN(G35)-1),6,2)&lt;13,1.2),_xlfn.IFS(1*MID(LEFT(G35,LEN(G35)-1),6,2)&lt;6,1,1*MID(LEFT(G35,LEN(G35)-1),6,2)&lt;15,1.2)))</f>
        <v/>
      </c>
      <c r="L35" s="106" t="str" cm="1">
        <f t="array" ref="L35">IF(OR(C35=0,COUNTIFS(C$24:C35,0)&lt;&gt;0),"",INDEX(数量表01!$D$1:'数量表01'!$D$1000,COLUMN()-COLUMN($A$24)+2+34*(ROW()-ROW($A$24)),0))</f>
        <v/>
      </c>
      <c r="M35" s="80" t="str" cm="1">
        <f t="array" ref="M35">IF(OR(C35=0,COUNTIFS(C$24:C35,0)&lt;&gt;0),"",INDEX(数量表01!$D$1:'数量表01'!$D$1000,COLUMN()-COLUMN($A$24)+2+34*(ROW()-ROW($A$24)),0))</f>
        <v/>
      </c>
      <c r="N35" s="106" t="str" cm="1">
        <f t="array" ref="N35">IF(OR(C35=0,COUNTIFS(C$24:C35,0)&lt;&gt;0),"",INDEX(数量表01!$D$1:'数量表01'!$D$1000,COLUMN()-COLUMN($A$24)+2+34*(ROW()-ROW($A$24)),0))</f>
        <v/>
      </c>
      <c r="O35" s="107" t="str" cm="1">
        <f t="array" ref="O35">IF(OR(C35=0,COUNTIFS(C$24:C35,0)&lt;&gt;0),"",INDEX(数量表01!$D$1:'数量表01'!$D$1000,COLUMN()-COLUMN($A$24)+2+34*(ROW()-ROW($A$24)),0))</f>
        <v/>
      </c>
    </row>
    <row r="36" spans="2:15" ht="11.1" customHeight="1">
      <c r="B36" s="88" cm="1">
        <f t="array" ref="B36">INDEX(数量表01!$D$1:'数量表01'!$D$1000,COLUMN()-COLUMN($A$24)+3+34*(ROW()-ROW($A$24)),0)</f>
        <v>13</v>
      </c>
      <c r="C36" s="108" cm="1">
        <f t="array" ref="C36">INDEX(数量表01!$D$1:'数量表01'!$D$1000,COLUMN()-COLUMN($A$24)+3+34*(ROW()-ROW($A$24)),0)</f>
        <v>1</v>
      </c>
      <c r="D36" s="108" t="str" cm="1">
        <f t="array" ref="D36">IF(OR(C36=0,COUNTIFS(C$24:C36,0)&lt;&gt;0),"",INDEX(数量表01!$D$1:'数量表01'!$D$1000,COLUMN()-COLUMN($A$24)+3+34*(ROW()-ROW($A$24)),0))</f>
        <v/>
      </c>
      <c r="E36" s="79" t="str" cm="1">
        <f t="array" ref="E36">IF(OR(C36=0,COUNTIFS(C$24:C36,0)&lt;&gt;0),"",INDEX(数量表01!$D$1:'数量表01'!$D$1000,COLUMN()-COLUMN($A$24)+3+34*(ROW()-ROW($A$24)),0))</f>
        <v/>
      </c>
      <c r="F36" s="79" t="str" cm="1">
        <f t="array" ref="F36">IF(OR(C36=0,COUNTIFS(C$24:C36,0)&lt;&gt;0),"",INDEX(数量表01!$D$1:'数量表01'!$D$1000,COLUMN()-COLUMN($A$24)+3+34*(ROW()-ROW($A$24)),0))</f>
        <v/>
      </c>
      <c r="G36" s="79" t="str" cm="1">
        <f t="array" ref="G36">IF(OR(C36=0,COUNTIFS(C$24:C36,0)&lt;&gt;0),"",INDEX(数量表01!$D$1:'数量表01'!$D$1000,COLUMN()-COLUMN($A$24)+3+34*(ROW()-ROW($A$24)),0))</f>
        <v/>
      </c>
      <c r="H36" s="79" t="str" cm="1">
        <f t="array" ref="H36">IF(OR(C36=0,COUNTIFS(C$24:C36,0)&lt;&gt;0),"",INDEX(数量表01!$D$1:'数量表01'!$D$1000,COLUMN()-COLUMN($A$24)+3+34*(ROW()-ROW($A$24)),0))</f>
        <v/>
      </c>
      <c r="I36" s="79" t="str" cm="1">
        <f t="array" ref="I36">IF(OR(C36=0,COUNTIFS(C$24:C36,0)&lt;&gt;0),"",INDEX(数量表01!$D$1:'数量表01'!$D$1000,COLUMN()-COLUMN($A$24)+3+34*(ROW()-ROW($A$24)),0))</f>
        <v/>
      </c>
      <c r="J36" s="79" t="str" cm="1">
        <f t="array" ref="J36">IF(OR(C36=0,COUNTIFS(C$24:C36,0)&lt;&gt;0),"",INDEX(数量表01!$D$1:'数量表01'!$D$1000,COLUMN()-COLUMN($A$24)+3+34*(ROW()-ROW($A$24)),0))</f>
        <v/>
      </c>
      <c r="K36" s="80" t="str" cm="1">
        <f t="array" ref="K36">IF(OR(C36=0,COUNTIFS(C$24:C36,0)&lt;&gt;0,G36="　"),"",IF(MID(G36,4,1)="5",_xlfn.IFS(1*MID(LEFT(G36,LEN(G36)-1),6,2)&lt;8,1,1*MID(LEFT(G36,LEN(G36)-1),6,2)&lt;13,1.2),_xlfn.IFS(1*MID(LEFT(G36,LEN(G36)-1),6,2)&lt;6,1,1*MID(LEFT(G36,LEN(G36)-1),6,2)&lt;15,1.2)))</f>
        <v/>
      </c>
      <c r="L36" s="106" t="str" cm="1">
        <f t="array" ref="L36">IF(OR(C36=0,COUNTIFS(C$24:C36,0)&lt;&gt;0),"",INDEX(数量表01!$D$1:'数量表01'!$D$1000,COLUMN()-COLUMN($A$24)+2+34*(ROW()-ROW($A$24)),0))</f>
        <v/>
      </c>
      <c r="M36" s="80" t="str" cm="1">
        <f t="array" ref="M36">IF(OR(C36=0,COUNTIFS(C$24:C36,0)&lt;&gt;0),"",INDEX(数量表01!$D$1:'数量表01'!$D$1000,COLUMN()-COLUMN($A$24)+2+34*(ROW()-ROW($A$24)),0))</f>
        <v/>
      </c>
      <c r="N36" s="106" t="str" cm="1">
        <f t="array" ref="N36">IF(OR(C36=0,COUNTIFS(C$24:C36,0)&lt;&gt;0),"",INDEX(数量表01!$D$1:'数量表01'!$D$1000,COLUMN()-COLUMN($A$24)+2+34*(ROW()-ROW($A$24)),0))</f>
        <v/>
      </c>
      <c r="O36" s="107" t="str" cm="1">
        <f t="array" ref="O36">IF(OR(C36=0,COUNTIFS(C$24:C36,0)&lt;&gt;0),"",INDEX(数量表01!$D$1:'数量表01'!$D$1000,COLUMN()-COLUMN($A$24)+2+34*(ROW()-ROW($A$24)),0))</f>
        <v/>
      </c>
    </row>
    <row r="37" spans="2:15" ht="11.1" customHeight="1">
      <c r="B37" s="88" cm="1">
        <f t="array" ref="B37">INDEX(数量表01!$D$1:'数量表01'!$D$1000,COLUMN()-COLUMN($A$24)+3+34*(ROW()-ROW($A$24)),0)</f>
        <v>14</v>
      </c>
      <c r="C37" s="108" cm="1">
        <f t="array" ref="C37">INDEX(数量表01!$D$1:'数量表01'!$D$1000,COLUMN()-COLUMN($A$24)+3+34*(ROW()-ROW($A$24)),0)</f>
        <v>1</v>
      </c>
      <c r="D37" s="108" t="str" cm="1">
        <f t="array" ref="D37">IF(OR(C37=0,COUNTIFS(C$24:C37,0)&lt;&gt;0),"",INDEX(数量表01!$D$1:'数量表01'!$D$1000,COLUMN()-COLUMN($A$24)+3+34*(ROW()-ROW($A$24)),0))</f>
        <v/>
      </c>
      <c r="E37" s="79" t="str" cm="1">
        <f t="array" ref="E37">IF(OR(C37=0,COUNTIFS(C$24:C37,0)&lt;&gt;0),"",INDEX(数量表01!$D$1:'数量表01'!$D$1000,COLUMN()-COLUMN($A$24)+3+34*(ROW()-ROW($A$24)),0))</f>
        <v/>
      </c>
      <c r="F37" s="79" t="str" cm="1">
        <f t="array" ref="F37">IF(OR(C37=0,COUNTIFS(C$24:C37,0)&lt;&gt;0),"",INDEX(数量表01!$D$1:'数量表01'!$D$1000,COLUMN()-COLUMN($A$24)+3+34*(ROW()-ROW($A$24)),0))</f>
        <v/>
      </c>
      <c r="G37" s="79" t="str" cm="1">
        <f t="array" ref="G37">IF(OR(C37=0,COUNTIFS(C$24:C37,0)&lt;&gt;0),"",INDEX(数量表01!$D$1:'数量表01'!$D$1000,COLUMN()-COLUMN($A$24)+3+34*(ROW()-ROW($A$24)),0))</f>
        <v/>
      </c>
      <c r="H37" s="79" t="str" cm="1">
        <f t="array" ref="H37">IF(OR(C37=0,COUNTIFS(C$24:C37,0)&lt;&gt;0),"",INDEX(数量表01!$D$1:'数量表01'!$D$1000,COLUMN()-COLUMN($A$24)+3+34*(ROW()-ROW($A$24)),0))</f>
        <v/>
      </c>
      <c r="I37" s="79" t="str" cm="1">
        <f t="array" ref="I37">IF(OR(C37=0,COUNTIFS(C$24:C37,0)&lt;&gt;0),"",INDEX(数量表01!$D$1:'数量表01'!$D$1000,COLUMN()-COLUMN($A$24)+3+34*(ROW()-ROW($A$24)),0))</f>
        <v/>
      </c>
      <c r="J37" s="79" t="str" cm="1">
        <f t="array" ref="J37">IF(OR(C37=0,COUNTIFS(C$24:C37,0)&lt;&gt;0),"",INDEX(数量表01!$D$1:'数量表01'!$D$1000,COLUMN()-COLUMN($A$24)+3+34*(ROW()-ROW($A$24)),0))</f>
        <v/>
      </c>
      <c r="K37" s="80" t="str" cm="1">
        <f t="array" ref="K37">IF(OR(C37=0,COUNTIFS(C$24:C37,0)&lt;&gt;0,G37="　"),"",IF(MID(G37,4,1)="5",_xlfn.IFS(1*MID(LEFT(G37,LEN(G37)-1),6,2)&lt;8,1,1*MID(LEFT(G37,LEN(G37)-1),6,2)&lt;13,1.2),_xlfn.IFS(1*MID(LEFT(G37,LEN(G37)-1),6,2)&lt;6,1,1*MID(LEFT(G37,LEN(G37)-1),6,2)&lt;15,1.2)))</f>
        <v/>
      </c>
      <c r="L37" s="106" t="str" cm="1">
        <f t="array" ref="L37">IF(OR(C37=0,COUNTIFS(C$24:C37,0)&lt;&gt;0),"",INDEX(数量表01!$D$1:'数量表01'!$D$1000,COLUMN()-COLUMN($A$24)+2+34*(ROW()-ROW($A$24)),0))</f>
        <v/>
      </c>
      <c r="M37" s="80" t="str" cm="1">
        <f t="array" ref="M37">IF(OR(C37=0,COUNTIFS(C$24:C37,0)&lt;&gt;0),"",INDEX(数量表01!$D$1:'数量表01'!$D$1000,COLUMN()-COLUMN($A$24)+2+34*(ROW()-ROW($A$24)),0))</f>
        <v/>
      </c>
      <c r="N37" s="106" t="str" cm="1">
        <f t="array" ref="N37">IF(OR(C37=0,COUNTIFS(C$24:C37,0)&lt;&gt;0),"",INDEX(数量表01!$D$1:'数量表01'!$D$1000,COLUMN()-COLUMN($A$24)+2+34*(ROW()-ROW($A$24)),0))</f>
        <v/>
      </c>
      <c r="O37" s="107" t="str" cm="1">
        <f t="array" ref="O37">IF(OR(C37=0,COUNTIFS(C$24:C37,0)&lt;&gt;0),"",INDEX(数量表01!$D$1:'数量表01'!$D$1000,COLUMN()-COLUMN($A$24)+2+34*(ROW()-ROW($A$24)),0))</f>
        <v/>
      </c>
    </row>
    <row r="38" spans="2:15" ht="11.1" customHeight="1">
      <c r="B38" s="88" cm="1">
        <f t="array" ref="B38">INDEX(数量表01!$D$1:'数量表01'!$D$1000,COLUMN()-COLUMN($A$24)+3+34*(ROW()-ROW($A$24)),0)</f>
        <v>15</v>
      </c>
      <c r="C38" s="108" cm="1">
        <f t="array" ref="C38">INDEX(数量表01!$D$1:'数量表01'!$D$1000,COLUMN()-COLUMN($A$24)+3+34*(ROW()-ROW($A$24)),0)</f>
        <v>1</v>
      </c>
      <c r="D38" s="108" t="str" cm="1">
        <f t="array" ref="D38">IF(OR(C38=0,COUNTIFS(C$24:C38,0)&lt;&gt;0),"",INDEX(数量表01!$D$1:'数量表01'!$D$1000,COLUMN()-COLUMN($A$24)+3+34*(ROW()-ROW($A$24)),0))</f>
        <v/>
      </c>
      <c r="E38" s="79" t="str" cm="1">
        <f t="array" ref="E38">IF(OR(C38=0,COUNTIFS(C$24:C38,0)&lt;&gt;0),"",INDEX(数量表01!$D$1:'数量表01'!$D$1000,COLUMN()-COLUMN($A$24)+3+34*(ROW()-ROW($A$24)),0))</f>
        <v/>
      </c>
      <c r="F38" s="79" t="str" cm="1">
        <f t="array" ref="F38">IF(OR(C38=0,COUNTIFS(C$24:C38,0)&lt;&gt;0),"",INDEX(数量表01!$D$1:'数量表01'!$D$1000,COLUMN()-COLUMN($A$24)+3+34*(ROW()-ROW($A$24)),0))</f>
        <v/>
      </c>
      <c r="G38" s="79" t="str" cm="1">
        <f t="array" ref="G38">IF(OR(C38=0,COUNTIFS(C$24:C38,0)&lt;&gt;0),"",INDEX(数量表01!$D$1:'数量表01'!$D$1000,COLUMN()-COLUMN($A$24)+3+34*(ROW()-ROW($A$24)),0))</f>
        <v/>
      </c>
      <c r="H38" s="79" t="str" cm="1">
        <f t="array" ref="H38">IF(OR(C38=0,COUNTIFS(C$24:C38,0)&lt;&gt;0),"",INDEX(数量表01!$D$1:'数量表01'!$D$1000,COLUMN()-COLUMN($A$24)+3+34*(ROW()-ROW($A$24)),0))</f>
        <v/>
      </c>
      <c r="I38" s="79" t="str" cm="1">
        <f t="array" ref="I38">IF(OR(C38=0,COUNTIFS(C$24:C38,0)&lt;&gt;0),"",INDEX(数量表01!$D$1:'数量表01'!$D$1000,COLUMN()-COLUMN($A$24)+3+34*(ROW()-ROW($A$24)),0))</f>
        <v/>
      </c>
      <c r="J38" s="79" t="str" cm="1">
        <f t="array" ref="J38">IF(OR(C38=0,COUNTIFS(C$24:C38,0)&lt;&gt;0),"",INDEX(数量表01!$D$1:'数量表01'!$D$1000,COLUMN()-COLUMN($A$24)+3+34*(ROW()-ROW($A$24)),0))</f>
        <v/>
      </c>
      <c r="K38" s="80" t="str" cm="1">
        <f t="array" ref="K38">IF(OR(C38=0,COUNTIFS(C$24:C38,0)&lt;&gt;0,G38="　"),"",IF(MID(G38,4,1)="5",_xlfn.IFS(1*MID(LEFT(G38,LEN(G38)-1),6,2)&lt;8,1,1*MID(LEFT(G38,LEN(G38)-1),6,2)&lt;13,1.2),_xlfn.IFS(1*MID(LEFT(G38,LEN(G38)-1),6,2)&lt;6,1,1*MID(LEFT(G38,LEN(G38)-1),6,2)&lt;15,1.2)))</f>
        <v/>
      </c>
      <c r="L38" s="106" t="str" cm="1">
        <f t="array" ref="L38">IF(OR(C38=0,COUNTIFS(C$24:C38,0)&lt;&gt;0),"",INDEX(数量表01!$D$1:'数量表01'!$D$1000,COLUMN()-COLUMN($A$24)+2+34*(ROW()-ROW($A$24)),0))</f>
        <v/>
      </c>
      <c r="M38" s="80" t="str" cm="1">
        <f t="array" ref="M38">IF(OR(C38=0,COUNTIFS(C$24:C38,0)&lt;&gt;0),"",INDEX(数量表01!$D$1:'数量表01'!$D$1000,COLUMN()-COLUMN($A$24)+2+34*(ROW()-ROW($A$24)),0))</f>
        <v/>
      </c>
      <c r="N38" s="106" t="str" cm="1">
        <f t="array" ref="N38">IF(OR(C38=0,COUNTIFS(C$24:C38,0)&lt;&gt;0),"",INDEX(数量表01!$D$1:'数量表01'!$D$1000,COLUMN()-COLUMN($A$24)+2+34*(ROW()-ROW($A$24)),0))</f>
        <v/>
      </c>
      <c r="O38" s="107" t="str" cm="1">
        <f t="array" ref="O38">IF(OR(C38=0,COUNTIFS(C$24:C38,0)&lt;&gt;0),"",INDEX(数量表01!$D$1:'数量表01'!$D$1000,COLUMN()-COLUMN($A$24)+2+34*(ROW()-ROW($A$24)),0))</f>
        <v/>
      </c>
    </row>
    <row r="39" spans="2:15" ht="11.1" customHeight="1">
      <c r="B39" s="88" cm="1">
        <f t="array" ref="B39">INDEX(数量表01!$D$1:'数量表01'!$D$1000,COLUMN()-COLUMN($A$24)+3+34*(ROW()-ROW($A$24)),0)</f>
        <v>16</v>
      </c>
      <c r="C39" s="108" cm="1">
        <f t="array" ref="C39">INDEX(数量表01!$D$1:'数量表01'!$D$1000,COLUMN()-COLUMN($A$24)+3+34*(ROW()-ROW($A$24)),0)</f>
        <v>1</v>
      </c>
      <c r="D39" s="108" t="str" cm="1">
        <f t="array" ref="D39">IF(OR(C39=0,COUNTIFS(C$24:C39,0)&lt;&gt;0),"",INDEX(数量表01!$D$1:'数量表01'!$D$1000,COLUMN()-COLUMN($A$24)+3+34*(ROW()-ROW($A$24)),0))</f>
        <v/>
      </c>
      <c r="E39" s="79" t="str" cm="1">
        <f t="array" ref="E39">IF(OR(C39=0,COUNTIFS(C$24:C39,0)&lt;&gt;0),"",INDEX(数量表01!$D$1:'数量表01'!$D$1000,COLUMN()-COLUMN($A$24)+3+34*(ROW()-ROW($A$24)),0))</f>
        <v/>
      </c>
      <c r="F39" s="79" t="str" cm="1">
        <f t="array" ref="F39">IF(OR(C39=0,COUNTIFS(C$24:C39,0)&lt;&gt;0),"",INDEX(数量表01!$D$1:'数量表01'!$D$1000,COLUMN()-COLUMN($A$24)+3+34*(ROW()-ROW($A$24)),0))</f>
        <v/>
      </c>
      <c r="G39" s="79" t="str" cm="1">
        <f t="array" ref="G39">IF(OR(C39=0,COUNTIFS(C$24:C39,0)&lt;&gt;0),"",INDEX(数量表01!$D$1:'数量表01'!$D$1000,COLUMN()-COLUMN($A$24)+3+34*(ROW()-ROW($A$24)),0))</f>
        <v/>
      </c>
      <c r="H39" s="79" t="str" cm="1">
        <f t="array" ref="H39">IF(OR(C39=0,COUNTIFS(C$24:C39,0)&lt;&gt;0),"",INDEX(数量表01!$D$1:'数量表01'!$D$1000,COLUMN()-COLUMN($A$24)+3+34*(ROW()-ROW($A$24)),0))</f>
        <v/>
      </c>
      <c r="I39" s="79" t="str" cm="1">
        <f t="array" ref="I39">IF(OR(C39=0,COUNTIFS(C$24:C39,0)&lt;&gt;0),"",INDEX(数量表01!$D$1:'数量表01'!$D$1000,COLUMN()-COLUMN($A$24)+3+34*(ROW()-ROW($A$24)),0))</f>
        <v/>
      </c>
      <c r="J39" s="79" t="str" cm="1">
        <f t="array" ref="J39">IF(OR(C39=0,COUNTIFS(C$24:C39,0)&lt;&gt;0),"",INDEX(数量表01!$D$1:'数量表01'!$D$1000,COLUMN()-COLUMN($A$24)+3+34*(ROW()-ROW($A$24)),0))</f>
        <v/>
      </c>
      <c r="K39" s="80" t="str" cm="1">
        <f t="array" ref="K39">IF(OR(C39=0,COUNTIFS(C$24:C39,0)&lt;&gt;0,G39="　"),"",IF(MID(G39,4,1)="5",_xlfn.IFS(1*MID(LEFT(G39,LEN(G39)-1),6,2)&lt;8,1,1*MID(LEFT(G39,LEN(G39)-1),6,2)&lt;13,1.2),_xlfn.IFS(1*MID(LEFT(G39,LEN(G39)-1),6,2)&lt;6,1,1*MID(LEFT(G39,LEN(G39)-1),6,2)&lt;15,1.2)))</f>
        <v/>
      </c>
      <c r="L39" s="106" t="str" cm="1">
        <f t="array" ref="L39">IF(OR(C39=0,COUNTIFS(C$24:C39,0)&lt;&gt;0),"",INDEX(数量表01!$D$1:'数量表01'!$D$1000,COLUMN()-COLUMN($A$24)+2+34*(ROW()-ROW($A$24)),0))</f>
        <v/>
      </c>
      <c r="M39" s="80" t="str" cm="1">
        <f t="array" ref="M39">IF(OR(C39=0,COUNTIFS(C$24:C39,0)&lt;&gt;0),"",INDEX(数量表01!$D$1:'数量表01'!$D$1000,COLUMN()-COLUMN($A$24)+2+34*(ROW()-ROW($A$24)),0))</f>
        <v/>
      </c>
      <c r="N39" s="106" t="str" cm="1">
        <f t="array" ref="N39">IF(OR(C39=0,COUNTIFS(C$24:C39,0)&lt;&gt;0),"",INDEX(数量表01!$D$1:'数量表01'!$D$1000,COLUMN()-COLUMN($A$24)+2+34*(ROW()-ROW($A$24)),0))</f>
        <v/>
      </c>
      <c r="O39" s="107" t="str" cm="1">
        <f t="array" ref="O39">IF(OR(C39=0,COUNTIFS(C$24:C39,0)&lt;&gt;0),"",INDEX(数量表01!$D$1:'数量表01'!$D$1000,COLUMN()-COLUMN($A$24)+2+34*(ROW()-ROW($A$24)),0))</f>
        <v/>
      </c>
    </row>
    <row r="40" spans="2:15" ht="11.1" customHeight="1">
      <c r="B40" s="88" cm="1">
        <f t="array" ref="B40">INDEX(数量表01!$D$1:'数量表01'!$D$1000,COLUMN()-COLUMN($A$24)+3+34*(ROW()-ROW($A$24)),0)</f>
        <v>17</v>
      </c>
      <c r="C40" s="108" cm="1">
        <f t="array" ref="C40">INDEX(数量表01!$D$1:'数量表01'!$D$1000,COLUMN()-COLUMN($A$24)+3+34*(ROW()-ROW($A$24)),0)</f>
        <v>1</v>
      </c>
      <c r="D40" s="108" t="str" cm="1">
        <f t="array" ref="D40">IF(OR(C40=0,COUNTIFS(C$24:C40,0)&lt;&gt;0),"",INDEX(数量表01!$D$1:'数量表01'!$D$1000,COLUMN()-COLUMN($A$24)+3+34*(ROW()-ROW($A$24)),0))</f>
        <v/>
      </c>
      <c r="E40" s="79" t="str" cm="1">
        <f t="array" ref="E40">IF(OR(C40=0,COUNTIFS(C$24:C40,0)&lt;&gt;0),"",INDEX(数量表01!$D$1:'数量表01'!$D$1000,COLUMN()-COLUMN($A$24)+3+34*(ROW()-ROW($A$24)),0))</f>
        <v/>
      </c>
      <c r="F40" s="79" t="str" cm="1">
        <f t="array" ref="F40">IF(OR(C40=0,COUNTIFS(C$24:C40,0)&lt;&gt;0),"",INDEX(数量表01!$D$1:'数量表01'!$D$1000,COLUMN()-COLUMN($A$24)+3+34*(ROW()-ROW($A$24)),0))</f>
        <v/>
      </c>
      <c r="G40" s="79" t="str" cm="1">
        <f t="array" ref="G40">IF(OR(C40=0,COUNTIFS(C$24:C40,0)&lt;&gt;0),"",INDEX(数量表01!$D$1:'数量表01'!$D$1000,COLUMN()-COLUMN($A$24)+3+34*(ROW()-ROW($A$24)),0))</f>
        <v/>
      </c>
      <c r="H40" s="79" t="str" cm="1">
        <f t="array" ref="H40">IF(OR(C40=0,COUNTIFS(C$24:C40,0)&lt;&gt;0),"",INDEX(数量表01!$D$1:'数量表01'!$D$1000,COLUMN()-COLUMN($A$24)+3+34*(ROW()-ROW($A$24)),0))</f>
        <v/>
      </c>
      <c r="I40" s="79" t="str" cm="1">
        <f t="array" ref="I40">IF(OR(C40=0,COUNTIFS(C$24:C40,0)&lt;&gt;0),"",INDEX(数量表01!$D$1:'数量表01'!$D$1000,COLUMN()-COLUMN($A$24)+3+34*(ROW()-ROW($A$24)),0))</f>
        <v/>
      </c>
      <c r="J40" s="79" t="str" cm="1">
        <f t="array" ref="J40">IF(OR(C40=0,COUNTIFS(C$24:C40,0)&lt;&gt;0),"",INDEX(数量表01!$D$1:'数量表01'!$D$1000,COLUMN()-COLUMN($A$24)+3+34*(ROW()-ROW($A$24)),0))</f>
        <v/>
      </c>
      <c r="K40" s="80" t="str" cm="1">
        <f t="array" ref="K40">IF(OR(C40=0,COUNTIFS(C$24:C40,0)&lt;&gt;0,G40="　"),"",IF(MID(G40,4,1)="5",_xlfn.IFS(1*MID(LEFT(G40,LEN(G40)-1),6,2)&lt;8,1,1*MID(LEFT(G40,LEN(G40)-1),6,2)&lt;13,1.2),_xlfn.IFS(1*MID(LEFT(G40,LEN(G40)-1),6,2)&lt;6,1,1*MID(LEFT(G40,LEN(G40)-1),6,2)&lt;15,1.2)))</f>
        <v/>
      </c>
      <c r="L40" s="106" t="str" cm="1">
        <f t="array" ref="L40">IF(OR(C40=0,COUNTIFS(C$24:C40,0)&lt;&gt;0),"",INDEX(数量表01!$D$1:'数量表01'!$D$1000,COLUMN()-COLUMN($A$24)+2+34*(ROW()-ROW($A$24)),0))</f>
        <v/>
      </c>
      <c r="M40" s="80" t="str" cm="1">
        <f t="array" ref="M40">IF(OR(C40=0,COUNTIFS(C$24:C40,0)&lt;&gt;0),"",INDEX(数量表01!$D$1:'数量表01'!$D$1000,COLUMN()-COLUMN($A$24)+2+34*(ROW()-ROW($A$24)),0))</f>
        <v/>
      </c>
      <c r="N40" s="106" t="str" cm="1">
        <f t="array" ref="N40">IF(OR(C40=0,COUNTIFS(C$24:C40,0)&lt;&gt;0),"",INDEX(数量表01!$D$1:'数量表01'!$D$1000,COLUMN()-COLUMN($A$24)+2+34*(ROW()-ROW($A$24)),0))</f>
        <v/>
      </c>
      <c r="O40" s="107" t="str" cm="1">
        <f t="array" ref="O40">IF(OR(C40=0,COUNTIFS(C$24:C40,0)&lt;&gt;0),"",INDEX(数量表01!$D$1:'数量表01'!$D$1000,COLUMN()-COLUMN($A$24)+2+34*(ROW()-ROW($A$24)),0))</f>
        <v/>
      </c>
    </row>
    <row r="41" spans="2:15" ht="11.1" customHeight="1">
      <c r="B41" s="88" cm="1">
        <f t="array" ref="B41">INDEX(数量表01!$D$1:'数量表01'!$D$1000,COLUMN()-COLUMN($A$24)+3+34*(ROW()-ROW($A$24)),0)</f>
        <v>18</v>
      </c>
      <c r="C41" s="108" cm="1">
        <f t="array" ref="C41">INDEX(数量表01!$D$1:'数量表01'!$D$1000,COLUMN()-COLUMN($A$24)+3+34*(ROW()-ROW($A$24)),0)</f>
        <v>1</v>
      </c>
      <c r="D41" s="108" t="str" cm="1">
        <f t="array" ref="D41">IF(OR(C41=0,COUNTIFS(C$24:C41,0)&lt;&gt;0),"",INDEX(数量表01!$D$1:'数量表01'!$D$1000,COLUMN()-COLUMN($A$24)+3+34*(ROW()-ROW($A$24)),0))</f>
        <v/>
      </c>
      <c r="E41" s="79" t="str" cm="1">
        <f t="array" ref="E41">IF(OR(C41=0,COUNTIFS(C$24:C41,0)&lt;&gt;0),"",INDEX(数量表01!$D$1:'数量表01'!$D$1000,COLUMN()-COLUMN($A$24)+3+34*(ROW()-ROW($A$24)),0))</f>
        <v/>
      </c>
      <c r="F41" s="79" t="str" cm="1">
        <f t="array" ref="F41">IF(OR(C41=0,COUNTIFS(C$24:C41,0)&lt;&gt;0),"",INDEX(数量表01!$D$1:'数量表01'!$D$1000,COLUMN()-COLUMN($A$24)+3+34*(ROW()-ROW($A$24)),0))</f>
        <v/>
      </c>
      <c r="G41" s="79" t="str" cm="1">
        <f t="array" ref="G41">IF(OR(C41=0,COUNTIFS(C$24:C41,0)&lt;&gt;0),"",INDEX(数量表01!$D$1:'数量表01'!$D$1000,COLUMN()-COLUMN($A$24)+3+34*(ROW()-ROW($A$24)),0))</f>
        <v/>
      </c>
      <c r="H41" s="79" t="str" cm="1">
        <f t="array" ref="H41">IF(OR(C41=0,COUNTIFS(C$24:C41,0)&lt;&gt;0),"",INDEX(数量表01!$D$1:'数量表01'!$D$1000,COLUMN()-COLUMN($A$24)+3+34*(ROW()-ROW($A$24)),0))</f>
        <v/>
      </c>
      <c r="I41" s="79" t="str" cm="1">
        <f t="array" ref="I41">IF(OR(C41=0,COUNTIFS(C$24:C41,0)&lt;&gt;0),"",INDEX(数量表01!$D$1:'数量表01'!$D$1000,COLUMN()-COLUMN($A$24)+3+34*(ROW()-ROW($A$24)),0))</f>
        <v/>
      </c>
      <c r="J41" s="79" t="str" cm="1">
        <f t="array" ref="J41">IF(OR(C41=0,COUNTIFS(C$24:C41,0)&lt;&gt;0),"",INDEX(数量表01!$D$1:'数量表01'!$D$1000,COLUMN()-COLUMN($A$24)+3+34*(ROW()-ROW($A$24)),0))</f>
        <v/>
      </c>
      <c r="K41" s="80" t="str" cm="1">
        <f t="array" ref="K41">IF(OR(C41=0,COUNTIFS(C$24:C41,0)&lt;&gt;0,G41="　"),"",IF(MID(G41,4,1)="5",_xlfn.IFS(1*MID(LEFT(G41,LEN(G41)-1),6,2)&lt;8,1,1*MID(LEFT(G41,LEN(G41)-1),6,2)&lt;13,1.2),_xlfn.IFS(1*MID(LEFT(G41,LEN(G41)-1),6,2)&lt;6,1,1*MID(LEFT(G41,LEN(G41)-1),6,2)&lt;15,1.2)))</f>
        <v/>
      </c>
      <c r="L41" s="106" t="str" cm="1">
        <f t="array" ref="L41">IF(OR(C41=0,COUNTIFS(C$24:C41,0)&lt;&gt;0),"",INDEX(数量表01!$D$1:'数量表01'!$D$1000,COLUMN()-COLUMN($A$24)+2+34*(ROW()-ROW($A$24)),0))</f>
        <v/>
      </c>
      <c r="M41" s="80" t="str" cm="1">
        <f t="array" ref="M41">IF(OR(C41=0,COUNTIFS(C$24:C41,0)&lt;&gt;0),"",INDEX(数量表01!$D$1:'数量表01'!$D$1000,COLUMN()-COLUMN($A$24)+2+34*(ROW()-ROW($A$24)),0))</f>
        <v/>
      </c>
      <c r="N41" s="106" t="str" cm="1">
        <f t="array" ref="N41">IF(OR(C41=0,COUNTIFS(C$24:C41,0)&lt;&gt;0),"",INDEX(数量表01!$D$1:'数量表01'!$D$1000,COLUMN()-COLUMN($A$24)+2+34*(ROW()-ROW($A$24)),0))</f>
        <v/>
      </c>
      <c r="O41" s="107" t="str" cm="1">
        <f t="array" ref="O41">IF(OR(C41=0,COUNTIFS(C$24:C41,0)&lt;&gt;0),"",INDEX(数量表01!$D$1:'数量表01'!$D$1000,COLUMN()-COLUMN($A$24)+2+34*(ROW()-ROW($A$24)),0))</f>
        <v/>
      </c>
    </row>
    <row r="42" spans="2:15" ht="11.1" customHeight="1">
      <c r="B42" s="88" cm="1">
        <f t="array" ref="B42">INDEX(数量表01!$D$1:'数量表01'!$D$1000,COLUMN()-COLUMN($A$24)+3+34*(ROW()-ROW($A$24)),0)</f>
        <v>19</v>
      </c>
      <c r="C42" s="108" cm="1">
        <f t="array" ref="C42">INDEX(数量表01!$D$1:'数量表01'!$D$1000,COLUMN()-COLUMN($A$24)+3+34*(ROW()-ROW($A$24)),0)</f>
        <v>1</v>
      </c>
      <c r="D42" s="108" t="str" cm="1">
        <f t="array" ref="D42">IF(OR(C42=0,COUNTIFS(C$24:C42,0)&lt;&gt;0),"",INDEX(数量表01!$D$1:'数量表01'!$D$1000,COLUMN()-COLUMN($A$24)+3+34*(ROW()-ROW($A$24)),0))</f>
        <v/>
      </c>
      <c r="E42" s="79" t="str" cm="1">
        <f t="array" ref="E42">IF(OR(C42=0,COUNTIFS(C$24:C42,0)&lt;&gt;0),"",INDEX(数量表01!$D$1:'数量表01'!$D$1000,COLUMN()-COLUMN($A$24)+3+34*(ROW()-ROW($A$24)),0))</f>
        <v/>
      </c>
      <c r="F42" s="79" t="str" cm="1">
        <f t="array" ref="F42">IF(OR(C42=0,COUNTIFS(C$24:C42,0)&lt;&gt;0),"",INDEX(数量表01!$D$1:'数量表01'!$D$1000,COLUMN()-COLUMN($A$24)+3+34*(ROW()-ROW($A$24)),0))</f>
        <v/>
      </c>
      <c r="G42" s="79" t="str" cm="1">
        <f t="array" ref="G42">IF(OR(C42=0,COUNTIFS(C$24:C42,0)&lt;&gt;0),"",INDEX(数量表01!$D$1:'数量表01'!$D$1000,COLUMN()-COLUMN($A$24)+3+34*(ROW()-ROW($A$24)),0))</f>
        <v/>
      </c>
      <c r="H42" s="79" t="str" cm="1">
        <f t="array" ref="H42">IF(OR(C42=0,COUNTIFS(C$24:C42,0)&lt;&gt;0),"",INDEX(数量表01!$D$1:'数量表01'!$D$1000,COLUMN()-COLUMN($A$24)+3+34*(ROW()-ROW($A$24)),0))</f>
        <v/>
      </c>
      <c r="I42" s="79" t="str" cm="1">
        <f t="array" ref="I42">IF(OR(C42=0,COUNTIFS(C$24:C42,0)&lt;&gt;0),"",INDEX(数量表01!$D$1:'数量表01'!$D$1000,COLUMN()-COLUMN($A$24)+3+34*(ROW()-ROW($A$24)),0))</f>
        <v/>
      </c>
      <c r="J42" s="79" t="str" cm="1">
        <f t="array" ref="J42">IF(OR(C42=0,COUNTIFS(C$24:C42,0)&lt;&gt;0),"",INDEX(数量表01!$D$1:'数量表01'!$D$1000,COLUMN()-COLUMN($A$24)+3+34*(ROW()-ROW($A$24)),0))</f>
        <v/>
      </c>
      <c r="K42" s="80" t="str" cm="1">
        <f t="array" ref="K42">IF(OR(C42=0,COUNTIFS(C$24:C42,0)&lt;&gt;0,G42="　"),"",IF(MID(G42,4,1)="5",_xlfn.IFS(1*MID(LEFT(G42,LEN(G42)-1),6,2)&lt;8,1,1*MID(LEFT(G42,LEN(G42)-1),6,2)&lt;13,1.2),_xlfn.IFS(1*MID(LEFT(G42,LEN(G42)-1),6,2)&lt;6,1,1*MID(LEFT(G42,LEN(G42)-1),6,2)&lt;15,1.2)))</f>
        <v/>
      </c>
      <c r="L42" s="106" t="str" cm="1">
        <f t="array" ref="L42">IF(OR(C42=0,COUNTIFS(C$24:C42,0)&lt;&gt;0),"",INDEX(数量表01!$D$1:'数量表01'!$D$1000,COLUMN()-COLUMN($A$24)+2+34*(ROW()-ROW($A$24)),0))</f>
        <v/>
      </c>
      <c r="M42" s="80" t="str" cm="1">
        <f t="array" ref="M42">IF(OR(C42=0,COUNTIFS(C$24:C42,0)&lt;&gt;0),"",INDEX(数量表01!$D$1:'数量表01'!$D$1000,COLUMN()-COLUMN($A$24)+2+34*(ROW()-ROW($A$24)),0))</f>
        <v/>
      </c>
      <c r="N42" s="106" t="str" cm="1">
        <f t="array" ref="N42">IF(OR(C42=0,COUNTIFS(C$24:C42,0)&lt;&gt;0),"",INDEX(数量表01!$D$1:'数量表01'!$D$1000,COLUMN()-COLUMN($A$24)+2+34*(ROW()-ROW($A$24)),0))</f>
        <v/>
      </c>
      <c r="O42" s="107" t="str" cm="1">
        <f t="array" ref="O42">IF(OR(C42=0,COUNTIFS(C$24:C42,0)&lt;&gt;0),"",INDEX(数量表01!$D$1:'数量表01'!$D$1000,COLUMN()-COLUMN($A$24)+2+34*(ROW()-ROW($A$24)),0))</f>
        <v/>
      </c>
    </row>
    <row r="43" spans="2:15" ht="11.1" customHeight="1">
      <c r="B43" s="92" cm="1">
        <f t="array" ref="B43">INDEX(数量表01!$D$1:'数量表01'!$D$1000,COLUMN()-COLUMN($A$24)+3+34*(ROW()-ROW($A$24)),0)</f>
        <v>20</v>
      </c>
      <c r="C43" s="109" cm="1">
        <f t="array" ref="C43">INDEX(数量表01!$D$1:'数量表01'!$D$1000,COLUMN()-COLUMN($A$24)+3+34*(ROW()-ROW($A$24)),0)</f>
        <v>1</v>
      </c>
      <c r="D43" s="109" t="str" cm="1">
        <f t="array" ref="D43">IF(OR(C43=0,COUNTIFS(C$24:C43,0)&lt;&gt;0),"",INDEX(数量表01!$D$1:'数量表01'!$D$1000,COLUMN()-COLUMN($A$24)+3+34*(ROW()-ROW($A$24)),0))</f>
        <v/>
      </c>
      <c r="E43" s="84" t="str" cm="1">
        <f t="array" ref="E43">IF(OR(C43=0,COUNTIFS(C$24:C43,0)&lt;&gt;0),"",INDEX(数量表01!$D$1:'数量表01'!$D$1000,COLUMN()-COLUMN($A$24)+3+34*(ROW()-ROW($A$24)),0))</f>
        <v/>
      </c>
      <c r="F43" s="84" t="str" cm="1">
        <f t="array" ref="F43">IF(OR(C43=0,COUNTIFS(C$24:C43,0)&lt;&gt;0),"",INDEX(数量表01!$D$1:'数量表01'!$D$1000,COLUMN()-COLUMN($A$24)+3+34*(ROW()-ROW($A$24)),0))</f>
        <v/>
      </c>
      <c r="G43" s="84" t="str" cm="1">
        <f t="array" ref="G43">IF(OR(C43=0,COUNTIFS(C$24:C43,0)&lt;&gt;0),"",INDEX(数量表01!$D$1:'数量表01'!$D$1000,COLUMN()-COLUMN($A$24)+3+34*(ROW()-ROW($A$24)),0))</f>
        <v/>
      </c>
      <c r="H43" s="84" t="str" cm="1">
        <f t="array" ref="H43">IF(OR(C43=0,COUNTIFS(C$24:C43,0)&lt;&gt;0),"",INDEX(数量表01!$D$1:'数量表01'!$D$1000,COLUMN()-COLUMN($A$24)+3+34*(ROW()-ROW($A$24)),0))</f>
        <v/>
      </c>
      <c r="I43" s="84" t="str" cm="1">
        <f t="array" ref="I43">IF(OR(C43=0,COUNTIFS(C$24:C43,0)&lt;&gt;0),"",INDEX(数量表01!$D$1:'数量表01'!$D$1000,COLUMN()-COLUMN($A$24)+3+34*(ROW()-ROW($A$24)),0))</f>
        <v/>
      </c>
      <c r="J43" s="84" t="str" cm="1">
        <f t="array" ref="J43">IF(OR(C43=0,COUNTIFS(C$24:C43,0)&lt;&gt;0),"",INDEX(数量表01!$D$1:'数量表01'!$D$1000,COLUMN()-COLUMN($A$24)+3+34*(ROW()-ROW($A$24)),0))</f>
        <v/>
      </c>
      <c r="K43" s="85" t="str" cm="1">
        <f t="array" ref="K43">IF(OR(C43=0,COUNTIFS(C$24:C43,0)&lt;&gt;0,G43="　"),"",IF(MID(G43,4,1)="5",_xlfn.IFS(1*MID(LEFT(G43,LEN(G43)-1),6,2)&lt;8,1,1*MID(LEFT(G43,LEN(G43)-1),6,2)&lt;13,1.2),_xlfn.IFS(1*MID(LEFT(G43,LEN(G43)-1),6,2)&lt;6,1,1*MID(LEFT(G43,LEN(G43)-1),6,2)&lt;15,1.2)))</f>
        <v/>
      </c>
      <c r="L43" s="110" t="str" cm="1">
        <f t="array" ref="L43">IF(OR(C43=0,COUNTIFS(C$24:C43,0)&lt;&gt;0),"",INDEX(数量表01!$D$1:'数量表01'!$D$1000,COLUMN()-COLUMN($A$24)+2+34*(ROW()-ROW($A$24)),0))</f>
        <v/>
      </c>
      <c r="M43" s="85" t="str" cm="1">
        <f t="array" ref="M43">IF(OR(C43=0,COUNTIFS(C$24:C43,0)&lt;&gt;0),"",INDEX(数量表01!$D$1:'数量表01'!$D$1000,COLUMN()-COLUMN($A$24)+2+34*(ROW()-ROW($A$24)),0))</f>
        <v/>
      </c>
      <c r="N43" s="110" t="str" cm="1">
        <f t="array" ref="N43">IF(OR(C43=0,COUNTIFS(C$24:C43,0)&lt;&gt;0),"",INDEX(数量表01!$D$1:'数量表01'!$D$1000,COLUMN()-COLUMN($A$24)+2+34*(ROW()-ROW($A$24)),0))</f>
        <v/>
      </c>
      <c r="O43" s="111" t="str" cm="1">
        <f t="array" ref="O43">IF(OR(C43=0,COUNTIFS(C$24:C43,0)&lt;&gt;0),"",INDEX(数量表01!$D$1:'数量表01'!$D$1000,COLUMN()-COLUMN($A$24)+2+34*(ROW()-ROW($A$24)),0))</f>
        <v/>
      </c>
    </row>
  </sheetData>
  <sheetProtection algorithmName="SHA-512" hashValue="KQRrqQnCNp79E+m8ADLo1LhsQ/146lHUWg12trtLdJ4M7mI1m7GsiPBIXZIqsyVoQuJDyZopHz24H5i0PyvS5w==" saltValue="AbYSknN88NIFECMe9hq5CA==" spinCount="100000" sheet="1" objects="1" scenarios="1"/>
  <mergeCells count="13">
    <mergeCell ref="E12:G12"/>
    <mergeCell ref="E13:G13"/>
    <mergeCell ref="E14:G14"/>
    <mergeCell ref="E18:G18"/>
    <mergeCell ref="E19:G19"/>
    <mergeCell ref="E17:G17"/>
    <mergeCell ref="E16:G16"/>
    <mergeCell ref="E11:G11"/>
    <mergeCell ref="E5:F5"/>
    <mergeCell ref="E6:F6"/>
    <mergeCell ref="E8:F8"/>
    <mergeCell ref="E9:G9"/>
    <mergeCell ref="E10:G10"/>
  </mergeCells>
  <phoneticPr fontId="1"/>
  <dataValidations count="2">
    <dataValidation type="list" allowBlank="1" showInputMessage="1" showErrorMessage="1" sqref="E6:F6" xr:uid="{98F7F142-B23D-4CC5-AABF-9DD211F341D8}">
      <formula1>"　,切土のり面(土工構造物),盛土のり面(土工構造物),斜面(湛水面上：土工構造物),斜面(湛水面含む：土工構造物),土留壁,擁壁,橋台,ダム,建築物,岸壁,防波堤,抑止杭,その他構造物"</formula1>
    </dataValidation>
    <dataValidation type="list" allowBlank="1" showInputMessage="1" showErrorMessage="1" sqref="E5" xr:uid="{681B4DF8-75E2-4EB9-A071-C5FC7F5B13F0}">
      <formula1>"　,土木,港湾,漁港,建築"</formula1>
    </dataValidation>
  </dataValidations>
  <printOptions horizontalCentered="1"/>
  <pageMargins left="0" right="0" top="0.55118110236220474" bottom="0.55118110236220474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数量表01</vt:lpstr>
      <vt:lpstr>見積依頼</vt:lpstr>
      <vt:lpstr>見積依頼!Print_Area</vt:lpstr>
      <vt:lpstr>数量表01!Print_Area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川崎廣貴</dc:creator>
  <cp:lastModifiedBy>株式会社 弘和産業</cp:lastModifiedBy>
  <cp:lastPrinted>2023-11-13T05:31:48Z</cp:lastPrinted>
  <dcterms:created xsi:type="dcterms:W3CDTF">2020-03-31T22:48:31Z</dcterms:created>
  <dcterms:modified xsi:type="dcterms:W3CDTF">2024-02-09T22:17:12Z</dcterms:modified>
</cp:coreProperties>
</file>