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d.docs.live.net/a8b2cef8bbb25b2b/2 kowa/HP/download/catalog/"/>
    </mc:Choice>
  </mc:AlternateContent>
  <xr:revisionPtr revIDLastSave="1" documentId="13_ncr:1_{D93E5A4F-7E67-40D8-9A63-85470295FDC1}" xr6:coauthVersionLast="47" xr6:coauthVersionMax="47" xr10:uidLastSave="{7B10EB83-BE54-4FBA-B13D-540874A739A4}"/>
  <bookViews>
    <workbookView xWindow="34980" yWindow="960" windowWidth="12060" windowHeight="12795" tabRatio="774" activeTab="3" xr2:uid="{00000000-000D-0000-FFFF-FFFF00000000}"/>
  </bookViews>
  <sheets>
    <sheet name="EHD_HP-01" sheetId="13" r:id="rId1"/>
    <sheet name="EHD-01" sheetId="7" r:id="rId2"/>
    <sheet name="除去-01" sheetId="10" r:id="rId3"/>
    <sheet name="残置-01" sheetId="6" r:id="rId4"/>
  </sheets>
  <definedNames>
    <definedName name="_xlnm.Print_Area" localSheetId="0">'EHD_HP-01'!$B$1:$K$2040</definedName>
    <definedName name="_xlnm.Print_Area" localSheetId="1">'EHD-01'!$A$1:$L$282</definedName>
    <definedName name="_xlnm.Print_Area" localSheetId="3">'残置-01'!$A$1:$L$276</definedName>
    <definedName name="_xlnm.Print_Area" localSheetId="2">'除去-01'!$A$1:$L$276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38" i="13" l="1"/>
  <c r="I2038" i="13" s="1"/>
  <c r="B2037" i="13"/>
  <c r="J2037" i="13" s="1"/>
  <c r="K2037" i="13" s="1"/>
  <c r="J2036" i="13"/>
  <c r="K2036" i="13" s="1"/>
  <c r="B2036" i="13"/>
  <c r="I2036" i="13" s="1"/>
  <c r="J2035" i="13" a="1"/>
  <c r="J2035" i="13" s="1"/>
  <c r="K2035" i="13" s="1"/>
  <c r="I2035" i="13"/>
  <c r="I2035" i="13" a="1"/>
  <c r="F2035" i="13" a="1"/>
  <c r="F2035" i="13" s="1"/>
  <c r="C2035" i="13" a="1"/>
  <c r="C2035" i="13" s="1"/>
  <c r="B2035" i="13" a="1"/>
  <c r="B2035" i="13" s="1"/>
  <c r="K2034" i="13"/>
  <c r="J2034" i="13" a="1"/>
  <c r="J2034" i="13" s="1"/>
  <c r="I2034" i="13" a="1"/>
  <c r="I2034" i="13" s="1"/>
  <c r="F2034" i="13"/>
  <c r="F2034" i="13" a="1"/>
  <c r="C2034" i="13" a="1"/>
  <c r="C2034" i="13" s="1"/>
  <c r="B2034" i="13" a="1"/>
  <c r="B2034" i="13" s="1"/>
  <c r="F2033" i="13"/>
  <c r="J2033" i="13" s="1"/>
  <c r="K2033" i="13" s="1"/>
  <c r="C2033" i="13" a="1"/>
  <c r="C2033" i="13" s="1"/>
  <c r="B2033" i="13"/>
  <c r="I2033" i="13" s="1"/>
  <c r="F2032" i="13"/>
  <c r="J2032" i="13" s="1"/>
  <c r="K2032" i="13" s="1"/>
  <c r="C2032" i="13" a="1"/>
  <c r="C2032" i="13" s="1"/>
  <c r="B2032" i="13"/>
  <c r="I2032" i="13" s="1"/>
  <c r="B2032" i="13" a="1"/>
  <c r="C2031" i="13"/>
  <c r="F2030" i="13"/>
  <c r="C2030" i="13"/>
  <c r="C2029" i="13"/>
  <c r="F2028" i="13"/>
  <c r="J2028" i="13" s="1"/>
  <c r="K2028" i="13" s="1"/>
  <c r="C2028" i="13" a="1"/>
  <c r="C2028" i="13" s="1"/>
  <c r="J2027" i="13"/>
  <c r="K2027" i="13" s="1"/>
  <c r="C2027" i="13" a="1"/>
  <c r="C2027" i="13" s="1"/>
  <c r="F2026" i="13"/>
  <c r="J2026" i="13" s="1"/>
  <c r="K2026" i="13" s="1"/>
  <c r="C2026" i="13"/>
  <c r="C2026" i="13" a="1"/>
  <c r="I2025" i="13"/>
  <c r="I2025" i="13" a="1"/>
  <c r="F2025" i="13" a="1"/>
  <c r="F2025" i="13" s="1"/>
  <c r="J2025" i="13" s="1"/>
  <c r="K2025" i="13" s="1"/>
  <c r="C2025" i="13"/>
  <c r="C2025" i="13" a="1"/>
  <c r="B2025" i="13" a="1"/>
  <c r="B2025" i="13" s="1"/>
  <c r="K2024" i="13"/>
  <c r="J2024" i="13"/>
  <c r="F2024" i="13"/>
  <c r="C2024" i="13"/>
  <c r="K2023" i="13"/>
  <c r="J2023" i="13"/>
  <c r="F2023" i="13"/>
  <c r="C2023" i="13" a="1"/>
  <c r="C2023" i="13" s="1"/>
  <c r="B2023" i="13"/>
  <c r="F2022" i="13"/>
  <c r="J2022" i="13" s="1"/>
  <c r="K2022" i="13" s="1"/>
  <c r="C2022" i="13"/>
  <c r="C2022" i="13" a="1"/>
  <c r="J2021" i="13"/>
  <c r="K2021" i="13" s="1"/>
  <c r="F2021" i="13"/>
  <c r="C2021" i="13"/>
  <c r="J2020" i="13"/>
  <c r="K2020" i="13" s="1"/>
  <c r="F2020" i="13"/>
  <c r="C2020" i="13"/>
  <c r="C2020" i="13" a="1"/>
  <c r="F2019" i="13"/>
  <c r="J2019" i="13" s="1"/>
  <c r="K2019" i="13" s="1"/>
  <c r="C2019" i="13" a="1"/>
  <c r="C2019" i="13" s="1"/>
  <c r="K2018" i="13"/>
  <c r="J2018" i="13"/>
  <c r="F2018" i="13"/>
  <c r="C2018" i="13"/>
  <c r="C2018" i="13" a="1"/>
  <c r="B2018" i="13"/>
  <c r="F2016" i="13"/>
  <c r="C2016" i="13"/>
  <c r="B2014" i="13"/>
  <c r="D2012" i="13" a="1"/>
  <c r="D2012" i="13" s="1"/>
  <c r="E2011" i="13"/>
  <c r="D2010" i="13"/>
  <c r="J2040" i="13" s="1"/>
  <c r="K2040" i="13" s="1"/>
  <c r="D2008" i="13"/>
  <c r="D2007" i="13" a="1"/>
  <c r="D2007" i="13" s="1"/>
  <c r="D2006" i="13"/>
  <c r="D2009" i="13" s="1"/>
  <c r="J2005" i="13"/>
  <c r="K2005" i="13" s="1"/>
  <c r="G2005" i="13"/>
  <c r="G2005" i="13" a="1"/>
  <c r="F2005" i="13" a="1"/>
  <c r="F2005" i="13" s="1"/>
  <c r="K2004" i="13"/>
  <c r="I2004" i="13"/>
  <c r="H2004" i="13" a="1"/>
  <c r="H2004" i="13" s="1"/>
  <c r="K2003" i="13"/>
  <c r="K2006" i="13" s="1"/>
  <c r="I2003" i="13"/>
  <c r="H2003" i="13" a="1"/>
  <c r="H2003" i="13" s="1"/>
  <c r="B2003" i="13"/>
  <c r="B2003" i="13" a="1"/>
  <c r="K2002" i="13"/>
  <c r="I2002" i="13"/>
  <c r="H2002" i="13"/>
  <c r="H2002" i="13" a="1"/>
  <c r="K2001" i="13"/>
  <c r="I2001" i="13"/>
  <c r="H2001" i="13" a="1"/>
  <c r="H2001" i="13" s="1"/>
  <c r="B2001" i="13"/>
  <c r="K2000" i="13"/>
  <c r="I2000" i="13"/>
  <c r="H2000" i="13"/>
  <c r="H2000" i="13" a="1"/>
  <c r="K1999" i="13"/>
  <c r="I1999" i="13"/>
  <c r="H1999" i="13"/>
  <c r="H1999" i="13" a="1"/>
  <c r="K1998" i="13"/>
  <c r="I1998" i="13"/>
  <c r="H1998" i="13"/>
  <c r="H2005" i="13" s="1" a="1"/>
  <c r="H2005" i="13" s="1"/>
  <c r="H1998" i="13" a="1"/>
  <c r="K1997" i="13"/>
  <c r="I1997" i="13"/>
  <c r="H1997" i="13"/>
  <c r="H1997" i="13" a="1"/>
  <c r="K1996" i="13"/>
  <c r="I1996" i="13"/>
  <c r="H1996" i="13"/>
  <c r="H1996" i="13" a="1"/>
  <c r="F1987" i="13"/>
  <c r="J1987" i="13" s="1"/>
  <c r="K1987" i="13" s="1"/>
  <c r="B1987" i="13"/>
  <c r="I1987" i="13" s="1"/>
  <c r="C1986" i="13" a="1"/>
  <c r="C1986" i="13" s="1"/>
  <c r="B1986" i="13"/>
  <c r="K1985" i="13"/>
  <c r="J1985" i="13"/>
  <c r="I1985" i="13"/>
  <c r="F1985" i="13"/>
  <c r="C1985" i="13"/>
  <c r="B1985" i="13"/>
  <c r="J1984" i="13"/>
  <c r="K1984" i="13" s="1"/>
  <c r="J1984" i="13" a="1"/>
  <c r="I1984" i="13" a="1"/>
  <c r="I1984" i="13" s="1"/>
  <c r="F1984" i="13" a="1"/>
  <c r="F1984" i="13" s="1"/>
  <c r="C1984" i="13" a="1"/>
  <c r="C1984" i="13" s="1"/>
  <c r="B1984" i="13"/>
  <c r="B1984" i="13" a="1"/>
  <c r="J1983" i="13"/>
  <c r="K1983" i="13" s="1"/>
  <c r="J1983" i="13" a="1"/>
  <c r="I1983" i="13"/>
  <c r="I1983" i="13" a="1"/>
  <c r="F1983" i="13" a="1"/>
  <c r="F1983" i="13" s="1"/>
  <c r="C1983" i="13"/>
  <c r="C1983" i="13" a="1"/>
  <c r="B1983" i="13" a="1"/>
  <c r="B1983" i="13" s="1"/>
  <c r="I1982" i="13"/>
  <c r="F1982" i="13"/>
  <c r="J1982" i="13" s="1"/>
  <c r="K1982" i="13" s="1"/>
  <c r="C1982" i="13"/>
  <c r="C1982" i="13" a="1"/>
  <c r="B1982" i="13"/>
  <c r="F1981" i="13"/>
  <c r="J1981" i="13" s="1"/>
  <c r="K1981" i="13" s="1"/>
  <c r="C1981" i="13"/>
  <c r="C1981" i="13" a="1"/>
  <c r="B1981" i="13" a="1"/>
  <c r="B1981" i="13" s="1"/>
  <c r="I1981" i="13" s="1"/>
  <c r="C1980" i="13"/>
  <c r="F1979" i="13"/>
  <c r="C1979" i="13"/>
  <c r="C1978" i="13"/>
  <c r="F1977" i="13"/>
  <c r="J1977" i="13" s="1"/>
  <c r="K1977" i="13" s="1"/>
  <c r="C1977" i="13"/>
  <c r="C1977" i="13" a="1"/>
  <c r="K1976" i="13"/>
  <c r="J1976" i="13"/>
  <c r="J1978" i="13" s="1"/>
  <c r="K1978" i="13" s="1"/>
  <c r="C1976" i="13"/>
  <c r="C1976" i="13" a="1"/>
  <c r="J1975" i="13"/>
  <c r="K1975" i="13" s="1"/>
  <c r="F1975" i="13"/>
  <c r="C1975" i="13"/>
  <c r="C1975" i="13" a="1"/>
  <c r="I1974" i="13" a="1"/>
  <c r="I1974" i="13" s="1"/>
  <c r="F1974" i="13"/>
  <c r="J1974" i="13" s="1"/>
  <c r="K1974" i="13" s="1"/>
  <c r="F1974" i="13" a="1"/>
  <c r="C1974" i="13" a="1"/>
  <c r="C1974" i="13" s="1"/>
  <c r="B1974" i="13"/>
  <c r="B1974" i="13" a="1"/>
  <c r="F1973" i="13"/>
  <c r="J1973" i="13" s="1"/>
  <c r="K1973" i="13" s="1"/>
  <c r="C1973" i="13"/>
  <c r="J1972" i="13"/>
  <c r="K1972" i="13" s="1"/>
  <c r="F1972" i="13"/>
  <c r="C1972" i="13" a="1"/>
  <c r="C1972" i="13" s="1"/>
  <c r="B1972" i="13"/>
  <c r="K1971" i="13"/>
  <c r="J1971" i="13"/>
  <c r="F1971" i="13"/>
  <c r="C1971" i="13"/>
  <c r="C1971" i="13" a="1"/>
  <c r="F1970" i="13"/>
  <c r="J1970" i="13" s="1"/>
  <c r="K1970" i="13" s="1"/>
  <c r="C1970" i="13"/>
  <c r="F1969" i="13"/>
  <c r="J1969" i="13" s="1"/>
  <c r="K1969" i="13" s="1"/>
  <c r="C1969" i="13"/>
  <c r="C1969" i="13" a="1"/>
  <c r="F1968" i="13"/>
  <c r="J1968" i="13" s="1"/>
  <c r="K1968" i="13" s="1"/>
  <c r="C1968" i="13"/>
  <c r="C1968" i="13" a="1"/>
  <c r="K1967" i="13"/>
  <c r="J1967" i="13"/>
  <c r="F1967" i="13"/>
  <c r="C1967" i="13" a="1"/>
  <c r="C1967" i="13" s="1"/>
  <c r="B1967" i="13"/>
  <c r="F1965" i="13"/>
  <c r="C1965" i="13"/>
  <c r="B1963" i="13"/>
  <c r="D1961" i="13"/>
  <c r="E1960" i="13" s="1"/>
  <c r="D1961" i="13" a="1"/>
  <c r="D1959" i="13"/>
  <c r="J1989" i="13" s="1"/>
  <c r="K1989" i="13" s="1"/>
  <c r="D1957" i="13"/>
  <c r="D1956" i="13"/>
  <c r="J1979" i="13" s="1"/>
  <c r="K1979" i="13" s="1"/>
  <c r="D1956" i="13" a="1"/>
  <c r="D1955" i="13"/>
  <c r="H1954" i="13"/>
  <c r="H1954" i="13" a="1"/>
  <c r="G1954" i="13" a="1"/>
  <c r="G1954" i="13" s="1"/>
  <c r="F1954" i="13" a="1"/>
  <c r="F1954" i="13" s="1"/>
  <c r="K1953" i="13"/>
  <c r="I1953" i="13"/>
  <c r="H1953" i="13"/>
  <c r="H1953" i="13" a="1"/>
  <c r="K1952" i="13"/>
  <c r="I1952" i="13"/>
  <c r="H1952" i="13" a="1"/>
  <c r="H1952" i="13" s="1"/>
  <c r="B1952" i="13" a="1"/>
  <c r="B1952" i="13" s="1"/>
  <c r="K1951" i="13"/>
  <c r="I1951" i="13"/>
  <c r="H1951" i="13" a="1"/>
  <c r="H1951" i="13" s="1"/>
  <c r="K1950" i="13"/>
  <c r="I1950" i="13"/>
  <c r="H1950" i="13" a="1"/>
  <c r="H1950" i="13" s="1"/>
  <c r="B1950" i="13"/>
  <c r="K1949" i="13"/>
  <c r="I1949" i="13"/>
  <c r="H1949" i="13"/>
  <c r="H1949" i="13" a="1"/>
  <c r="K1948" i="13"/>
  <c r="I1948" i="13"/>
  <c r="H1948" i="13" a="1"/>
  <c r="H1948" i="13" s="1"/>
  <c r="K1947" i="13"/>
  <c r="I1947" i="13"/>
  <c r="H1947" i="13"/>
  <c r="H1947" i="13" a="1"/>
  <c r="K1946" i="13"/>
  <c r="I1946" i="13"/>
  <c r="H1946" i="13" a="1"/>
  <c r="H1946" i="13" s="1"/>
  <c r="K1945" i="13"/>
  <c r="I1945" i="13"/>
  <c r="H1945" i="13"/>
  <c r="H1945" i="13" a="1"/>
  <c r="J1936" i="13"/>
  <c r="K1936" i="13" s="1"/>
  <c r="I1936" i="13"/>
  <c r="B1936" i="13"/>
  <c r="F1936" i="13" s="1"/>
  <c r="F1935" i="13"/>
  <c r="B1935" i="13"/>
  <c r="J1935" i="13" s="1"/>
  <c r="K1935" i="13" s="1"/>
  <c r="B1934" i="13"/>
  <c r="J1933" i="13" a="1"/>
  <c r="J1933" i="13" s="1"/>
  <c r="K1933" i="13" s="1"/>
  <c r="I1933" i="13" a="1"/>
  <c r="I1933" i="13" s="1"/>
  <c r="F1933" i="13" a="1"/>
  <c r="F1933" i="13" s="1"/>
  <c r="C1933" i="13"/>
  <c r="C1933" i="13" a="1"/>
  <c r="B1933" i="13" a="1"/>
  <c r="B1933" i="13" s="1"/>
  <c r="J1932" i="13"/>
  <c r="K1932" i="13" s="1"/>
  <c r="J1932" i="13" a="1"/>
  <c r="I1932" i="13" a="1"/>
  <c r="I1932" i="13" s="1"/>
  <c r="F1932" i="13"/>
  <c r="F1932" i="13" a="1"/>
  <c r="C1932" i="13"/>
  <c r="C1932" i="13" a="1"/>
  <c r="B1932" i="13"/>
  <c r="B1932" i="13" a="1"/>
  <c r="J1931" i="13"/>
  <c r="K1931" i="13" s="1"/>
  <c r="I1931" i="13"/>
  <c r="F1931" i="13"/>
  <c r="C1931" i="13"/>
  <c r="C1931" i="13" a="1"/>
  <c r="B1931" i="13"/>
  <c r="I1930" i="13"/>
  <c r="F1930" i="13"/>
  <c r="J1930" i="13" s="1"/>
  <c r="K1930" i="13" s="1"/>
  <c r="C1930" i="13" a="1"/>
  <c r="C1930" i="13" s="1"/>
  <c r="B1930" i="13"/>
  <c r="B1930" i="13" a="1"/>
  <c r="C1929" i="13"/>
  <c r="F1928" i="13"/>
  <c r="C1928" i="13"/>
  <c r="C1927" i="13"/>
  <c r="K1926" i="13"/>
  <c r="J1926" i="13"/>
  <c r="F1926" i="13"/>
  <c r="C1926" i="13"/>
  <c r="C1926" i="13" a="1"/>
  <c r="K1925" i="13"/>
  <c r="J1925" i="13"/>
  <c r="J1927" i="13" s="1"/>
  <c r="K1927" i="13" s="1"/>
  <c r="C1925" i="13" a="1"/>
  <c r="C1925" i="13" s="1"/>
  <c r="F1924" i="13"/>
  <c r="J1924" i="13" s="1"/>
  <c r="K1924" i="13" s="1"/>
  <c r="C1924" i="13"/>
  <c r="C1924" i="13" a="1"/>
  <c r="I1923" i="13"/>
  <c r="I1923" i="13" a="1"/>
  <c r="F1923" i="13" a="1"/>
  <c r="F1923" i="13" s="1"/>
  <c r="J1923" i="13" s="1"/>
  <c r="K1923" i="13" s="1"/>
  <c r="C1923" i="13"/>
  <c r="C1923" i="13" a="1"/>
  <c r="B1923" i="13" a="1"/>
  <c r="B1923" i="13" s="1"/>
  <c r="K1922" i="13"/>
  <c r="J1922" i="13"/>
  <c r="F1922" i="13"/>
  <c r="C1922" i="13"/>
  <c r="K1921" i="13"/>
  <c r="J1921" i="13"/>
  <c r="F1921" i="13"/>
  <c r="C1921" i="13" a="1"/>
  <c r="C1921" i="13" s="1"/>
  <c r="B1921" i="13"/>
  <c r="J1920" i="13"/>
  <c r="K1920" i="13" s="1"/>
  <c r="F1920" i="13"/>
  <c r="C1920" i="13"/>
  <c r="C1920" i="13" a="1"/>
  <c r="J1919" i="13"/>
  <c r="K1919" i="13" s="1"/>
  <c r="F1919" i="13"/>
  <c r="C1919" i="13"/>
  <c r="K1918" i="13"/>
  <c r="J1918" i="13"/>
  <c r="F1918" i="13"/>
  <c r="C1918" i="13" a="1"/>
  <c r="C1918" i="13" s="1"/>
  <c r="K1917" i="13"/>
  <c r="J1917" i="13"/>
  <c r="F1917" i="13"/>
  <c r="C1917" i="13"/>
  <c r="C1917" i="13" a="1"/>
  <c r="F1916" i="13"/>
  <c r="J1916" i="13" s="1"/>
  <c r="K1916" i="13" s="1"/>
  <c r="C1916" i="13"/>
  <c r="C1916" i="13" a="1"/>
  <c r="B1916" i="13"/>
  <c r="F1914" i="13"/>
  <c r="C1914" i="13"/>
  <c r="B1912" i="13"/>
  <c r="D1910" i="13" a="1"/>
  <c r="D1910" i="13" s="1"/>
  <c r="E1909" i="13" s="1"/>
  <c r="D1908" i="13"/>
  <c r="J1938" i="13" s="1"/>
  <c r="K1938" i="13" s="1"/>
  <c r="D1906" i="13"/>
  <c r="D1905" i="13" a="1"/>
  <c r="D1905" i="13" s="1"/>
  <c r="J1928" i="13" s="1"/>
  <c r="K1928" i="13" s="1"/>
  <c r="D1904" i="13"/>
  <c r="D1907" i="13" s="1"/>
  <c r="J1903" i="13"/>
  <c r="K1903" i="13" s="1"/>
  <c r="H1903" i="13" a="1"/>
  <c r="H1903" i="13" s="1"/>
  <c r="G1903" i="13"/>
  <c r="G1903" i="13" a="1"/>
  <c r="F1903" i="13" a="1"/>
  <c r="F1903" i="13" s="1"/>
  <c r="K1902" i="13"/>
  <c r="I1902" i="13"/>
  <c r="H1902" i="13" a="1"/>
  <c r="H1902" i="13" s="1"/>
  <c r="K1901" i="13"/>
  <c r="I1901" i="13"/>
  <c r="H1901" i="13" a="1"/>
  <c r="H1901" i="13" s="1"/>
  <c r="B1901" i="13"/>
  <c r="B1901" i="13" a="1"/>
  <c r="K1900" i="13"/>
  <c r="I1900" i="13"/>
  <c r="H1900" i="13"/>
  <c r="H1900" i="13" a="1"/>
  <c r="K1899" i="13"/>
  <c r="I1899" i="13"/>
  <c r="H1899" i="13"/>
  <c r="H1899" i="13" a="1"/>
  <c r="B1899" i="13"/>
  <c r="K1898" i="13"/>
  <c r="I1898" i="13"/>
  <c r="H1898" i="13"/>
  <c r="H1898" i="13" a="1"/>
  <c r="K1897" i="13"/>
  <c r="I1897" i="13"/>
  <c r="H1897" i="13"/>
  <c r="H1897" i="13" a="1"/>
  <c r="K1896" i="13"/>
  <c r="I1896" i="13"/>
  <c r="H1896" i="13"/>
  <c r="H1896" i="13" a="1"/>
  <c r="K1895" i="13"/>
  <c r="I1895" i="13"/>
  <c r="H1895" i="13"/>
  <c r="H1895" i="13" a="1"/>
  <c r="K1894" i="13"/>
  <c r="I1894" i="13"/>
  <c r="H1894" i="13"/>
  <c r="H1894" i="13" a="1"/>
  <c r="J1887" i="13"/>
  <c r="K1887" i="13" s="1"/>
  <c r="I1885" i="13"/>
  <c r="F1885" i="13"/>
  <c r="J1885" i="13" s="1"/>
  <c r="K1885" i="13" s="1"/>
  <c r="B1885" i="13"/>
  <c r="I1884" i="13"/>
  <c r="F1884" i="13"/>
  <c r="C1884" i="13" a="1"/>
  <c r="C1884" i="13" s="1"/>
  <c r="B1884" i="13"/>
  <c r="J1884" i="13" s="1"/>
  <c r="K1884" i="13" s="1"/>
  <c r="I1883" i="13"/>
  <c r="F1883" i="13"/>
  <c r="C1883" i="13"/>
  <c r="B1883" i="13"/>
  <c r="J1883" i="13" s="1"/>
  <c r="K1883" i="13" s="1"/>
  <c r="K1882" i="13"/>
  <c r="J1882" i="13"/>
  <c r="J1882" i="13" a="1"/>
  <c r="I1882" i="13" a="1"/>
  <c r="I1882" i="13" s="1"/>
  <c r="F1882" i="13"/>
  <c r="F1882" i="13" a="1"/>
  <c r="C1882" i="13" a="1"/>
  <c r="C1882" i="13" s="1"/>
  <c r="B1882" i="13"/>
  <c r="B1882" i="13" a="1"/>
  <c r="J1881" i="13" a="1"/>
  <c r="J1881" i="13" s="1"/>
  <c r="K1881" i="13" s="1"/>
  <c r="I1881" i="13"/>
  <c r="I1881" i="13" a="1"/>
  <c r="F1881" i="13"/>
  <c r="F1881" i="13" a="1"/>
  <c r="C1881" i="13"/>
  <c r="C1881" i="13" a="1"/>
  <c r="B1881" i="13" a="1"/>
  <c r="B1881" i="13" s="1"/>
  <c r="I1880" i="13"/>
  <c r="F1880" i="13"/>
  <c r="J1880" i="13" s="1"/>
  <c r="K1880" i="13" s="1"/>
  <c r="C1880" i="13"/>
  <c r="C1880" i="13" a="1"/>
  <c r="B1880" i="13"/>
  <c r="K1879" i="13"/>
  <c r="J1879" i="13"/>
  <c r="F1879" i="13"/>
  <c r="C1879" i="13"/>
  <c r="C1879" i="13" a="1"/>
  <c r="B1879" i="13" a="1"/>
  <c r="B1879" i="13" s="1"/>
  <c r="I1879" i="13" s="1"/>
  <c r="C1878" i="13"/>
  <c r="F1877" i="13"/>
  <c r="C1877" i="13"/>
  <c r="C1876" i="13"/>
  <c r="J1875" i="13"/>
  <c r="K1875" i="13" s="1"/>
  <c r="F1875" i="13"/>
  <c r="C1875" i="13"/>
  <c r="C1875" i="13" a="1"/>
  <c r="J1874" i="13"/>
  <c r="C1874" i="13"/>
  <c r="C1874" i="13" a="1"/>
  <c r="F1873" i="13"/>
  <c r="J1873" i="13" s="1"/>
  <c r="K1873" i="13" s="1"/>
  <c r="C1873" i="13" a="1"/>
  <c r="C1873" i="13" s="1"/>
  <c r="I1872" i="13" a="1"/>
  <c r="I1872" i="13" s="1"/>
  <c r="F1872" i="13" a="1"/>
  <c r="F1872" i="13" s="1"/>
  <c r="J1872" i="13" s="1"/>
  <c r="K1872" i="13" s="1"/>
  <c r="C1872" i="13" a="1"/>
  <c r="C1872" i="13" s="1"/>
  <c r="B1872" i="13"/>
  <c r="B1872" i="13" a="1"/>
  <c r="J1871" i="13"/>
  <c r="K1871" i="13" s="1"/>
  <c r="F1871" i="13"/>
  <c r="C1871" i="13"/>
  <c r="F1870" i="13"/>
  <c r="J1870" i="13" s="1"/>
  <c r="K1870" i="13" s="1"/>
  <c r="C1870" i="13"/>
  <c r="C1870" i="13" a="1"/>
  <c r="B1870" i="13"/>
  <c r="J1869" i="13"/>
  <c r="K1869" i="13" s="1"/>
  <c r="F1869" i="13"/>
  <c r="C1869" i="13" a="1"/>
  <c r="C1869" i="13" s="1"/>
  <c r="F1868" i="13"/>
  <c r="J1868" i="13" s="1"/>
  <c r="K1868" i="13" s="1"/>
  <c r="C1868" i="13"/>
  <c r="F1867" i="13"/>
  <c r="J1867" i="13" s="1"/>
  <c r="K1867" i="13" s="1"/>
  <c r="C1867" i="13"/>
  <c r="C1867" i="13" a="1"/>
  <c r="J1866" i="13"/>
  <c r="K1866" i="13" s="1"/>
  <c r="F1866" i="13"/>
  <c r="C1866" i="13"/>
  <c r="C1866" i="13" a="1"/>
  <c r="J1865" i="13"/>
  <c r="K1865" i="13" s="1"/>
  <c r="F1865" i="13"/>
  <c r="C1865" i="13" a="1"/>
  <c r="C1865" i="13" s="1"/>
  <c r="B1865" i="13"/>
  <c r="F1863" i="13"/>
  <c r="C1863" i="13"/>
  <c r="B1861" i="13"/>
  <c r="D1859" i="13" a="1"/>
  <c r="D1859" i="13" s="1"/>
  <c r="E1858" i="13" s="1"/>
  <c r="D1857" i="13"/>
  <c r="J1852" i="13" s="1"/>
  <c r="K1852" i="13" s="1"/>
  <c r="D1856" i="13"/>
  <c r="D1855" i="13"/>
  <c r="D1854" i="13" a="1"/>
  <c r="D1854" i="13" s="1"/>
  <c r="D1853" i="13"/>
  <c r="G1852" i="13" a="1"/>
  <c r="G1852" i="13" s="1"/>
  <c r="F1852" i="13"/>
  <c r="F1852" i="13" a="1"/>
  <c r="K1851" i="13"/>
  <c r="I1851" i="13"/>
  <c r="H1851" i="13" a="1"/>
  <c r="H1851" i="13" s="1"/>
  <c r="K1850" i="13"/>
  <c r="I1850" i="13"/>
  <c r="H1850" i="13"/>
  <c r="H1850" i="13" a="1"/>
  <c r="B1850" i="13" a="1"/>
  <c r="B1850" i="13" s="1"/>
  <c r="K1849" i="13"/>
  <c r="I1849" i="13"/>
  <c r="H1849" i="13" a="1"/>
  <c r="H1849" i="13" s="1"/>
  <c r="K1848" i="13"/>
  <c r="I1848" i="13"/>
  <c r="H1848" i="13" a="1"/>
  <c r="H1848" i="13" s="1"/>
  <c r="B1848" i="13"/>
  <c r="K1847" i="13"/>
  <c r="I1847" i="13"/>
  <c r="H1847" i="13" a="1"/>
  <c r="H1847" i="13" s="1"/>
  <c r="K1846" i="13"/>
  <c r="I1846" i="13"/>
  <c r="H1846" i="13"/>
  <c r="H1846" i="13" a="1"/>
  <c r="K1845" i="13"/>
  <c r="I1845" i="13"/>
  <c r="H1845" i="13" a="1"/>
  <c r="H1845" i="13" s="1"/>
  <c r="H1852" i="13" s="1" a="1"/>
  <c r="H1852" i="13" s="1"/>
  <c r="K1844" i="13"/>
  <c r="K1853" i="13" s="1"/>
  <c r="I1844" i="13"/>
  <c r="H1844" i="13"/>
  <c r="H1844" i="13" a="1"/>
  <c r="K1843" i="13"/>
  <c r="I1843" i="13"/>
  <c r="H1843" i="13" a="1"/>
  <c r="H1843" i="13" s="1"/>
  <c r="K1836" i="13"/>
  <c r="I1834" i="13"/>
  <c r="B1834" i="13"/>
  <c r="F1834" i="13" s="1"/>
  <c r="J1834" i="13" s="1"/>
  <c r="K1834" i="13" s="1"/>
  <c r="K1833" i="13"/>
  <c r="J1833" i="13"/>
  <c r="F1833" i="13"/>
  <c r="C1833" i="13" a="1"/>
  <c r="C1833" i="13" s="1"/>
  <c r="B1833" i="13"/>
  <c r="I1833" i="13" s="1"/>
  <c r="J1832" i="13"/>
  <c r="K1832" i="13" s="1"/>
  <c r="I1832" i="13"/>
  <c r="C1832" i="13"/>
  <c r="B1832" i="13"/>
  <c r="F1832" i="13" s="1"/>
  <c r="J1831" i="13" a="1"/>
  <c r="J1831" i="13" s="1"/>
  <c r="K1831" i="13" s="1"/>
  <c r="I1831" i="13"/>
  <c r="I1831" i="13" a="1"/>
  <c r="F1831" i="13" a="1"/>
  <c r="F1831" i="13" s="1"/>
  <c r="C1831" i="13" a="1"/>
  <c r="C1831" i="13" s="1"/>
  <c r="B1831" i="13" a="1"/>
  <c r="B1831" i="13" s="1"/>
  <c r="J1830" i="13"/>
  <c r="K1830" i="13" s="1"/>
  <c r="J1830" i="13" a="1"/>
  <c r="I1830" i="13"/>
  <c r="I1830" i="13" a="1"/>
  <c r="F1830" i="13"/>
  <c r="F1830" i="13" a="1"/>
  <c r="C1830" i="13" a="1"/>
  <c r="C1830" i="13" s="1"/>
  <c r="B1830" i="13"/>
  <c r="B1830" i="13" a="1"/>
  <c r="K1829" i="13"/>
  <c r="J1829" i="13"/>
  <c r="F1829" i="13"/>
  <c r="C1829" i="13" a="1"/>
  <c r="C1829" i="13" s="1"/>
  <c r="B1829" i="13"/>
  <c r="I1829" i="13" s="1"/>
  <c r="J1828" i="13"/>
  <c r="K1828" i="13" s="1"/>
  <c r="F1828" i="13"/>
  <c r="C1828" i="13" a="1"/>
  <c r="C1828" i="13" s="1"/>
  <c r="B1828" i="13" a="1"/>
  <c r="B1828" i="13" s="1"/>
  <c r="I1828" i="13" s="1"/>
  <c r="C1827" i="13"/>
  <c r="F1826" i="13"/>
  <c r="C1826" i="13"/>
  <c r="C1825" i="13"/>
  <c r="J1824" i="13"/>
  <c r="K1824" i="13" s="1"/>
  <c r="F1824" i="13"/>
  <c r="C1824" i="13"/>
  <c r="C1824" i="13" a="1"/>
  <c r="K1823" i="13"/>
  <c r="J1823" i="13"/>
  <c r="J1825" i="13" s="1"/>
  <c r="K1825" i="13" s="1"/>
  <c r="C1823" i="13"/>
  <c r="C1823" i="13" a="1"/>
  <c r="F1822" i="13"/>
  <c r="J1822" i="13" s="1"/>
  <c r="K1822" i="13" s="1"/>
  <c r="C1822" i="13"/>
  <c r="C1822" i="13" a="1"/>
  <c r="I1821" i="13" a="1"/>
  <c r="I1821" i="13" s="1"/>
  <c r="F1821" i="13" a="1"/>
  <c r="F1821" i="13" s="1"/>
  <c r="J1821" i="13" s="1"/>
  <c r="K1821" i="13" s="1"/>
  <c r="C1821" i="13" a="1"/>
  <c r="C1821" i="13" s="1"/>
  <c r="B1821" i="13" a="1"/>
  <c r="B1821" i="13" s="1"/>
  <c r="J1820" i="13"/>
  <c r="K1820" i="13" s="1"/>
  <c r="F1820" i="13"/>
  <c r="C1820" i="13"/>
  <c r="J1819" i="13"/>
  <c r="K1819" i="13" s="1"/>
  <c r="F1819" i="13"/>
  <c r="C1819" i="13"/>
  <c r="C1819" i="13" a="1"/>
  <c r="B1819" i="13"/>
  <c r="J1818" i="13"/>
  <c r="K1818" i="13" s="1"/>
  <c r="F1818" i="13"/>
  <c r="C1818" i="13"/>
  <c r="C1818" i="13" a="1"/>
  <c r="K1817" i="13"/>
  <c r="J1817" i="13"/>
  <c r="F1817" i="13"/>
  <c r="C1817" i="13"/>
  <c r="F1816" i="13"/>
  <c r="J1816" i="13" s="1"/>
  <c r="K1816" i="13" s="1"/>
  <c r="C1816" i="13" a="1"/>
  <c r="C1816" i="13" s="1"/>
  <c r="K1815" i="13"/>
  <c r="J1815" i="13"/>
  <c r="F1815" i="13"/>
  <c r="C1815" i="13" a="1"/>
  <c r="C1815" i="13" s="1"/>
  <c r="F1814" i="13"/>
  <c r="J1814" i="13" s="1"/>
  <c r="K1814" i="13" s="1"/>
  <c r="C1814" i="13" a="1"/>
  <c r="C1814" i="13" s="1"/>
  <c r="B1814" i="13"/>
  <c r="F1812" i="13"/>
  <c r="C1812" i="13"/>
  <c r="B1810" i="13"/>
  <c r="D1808" i="13" a="1"/>
  <c r="D1808" i="13" s="1"/>
  <c r="E1807" i="13" s="1"/>
  <c r="D1806" i="13"/>
  <c r="J1836" i="13" s="1"/>
  <c r="D1804" i="13"/>
  <c r="D1803" i="13" a="1"/>
  <c r="D1803" i="13" s="1"/>
  <c r="D1802" i="13"/>
  <c r="H1801" i="13" a="1"/>
  <c r="H1801" i="13" s="1"/>
  <c r="G1801" i="13" a="1"/>
  <c r="G1801" i="13" s="1"/>
  <c r="F1801" i="13" a="1"/>
  <c r="F1801" i="13" s="1"/>
  <c r="K1800" i="13"/>
  <c r="I1800" i="13"/>
  <c r="H1800" i="13" a="1"/>
  <c r="H1800" i="13" s="1"/>
  <c r="K1799" i="13"/>
  <c r="I1799" i="13"/>
  <c r="H1799" i="13" a="1"/>
  <c r="H1799" i="13" s="1"/>
  <c r="B1799" i="13" a="1"/>
  <c r="B1799" i="13" s="1"/>
  <c r="K1798" i="13"/>
  <c r="I1798" i="13"/>
  <c r="H1798" i="13" a="1"/>
  <c r="H1798" i="13" s="1"/>
  <c r="K1797" i="13"/>
  <c r="I1797" i="13"/>
  <c r="H1797" i="13" a="1"/>
  <c r="H1797" i="13" s="1"/>
  <c r="B1797" i="13"/>
  <c r="K1796" i="13"/>
  <c r="I1796" i="13"/>
  <c r="H1796" i="13"/>
  <c r="H1796" i="13" a="1"/>
  <c r="K1795" i="13"/>
  <c r="I1795" i="13"/>
  <c r="H1795" i="13"/>
  <c r="H1795" i="13" a="1"/>
  <c r="K1794" i="13"/>
  <c r="I1794" i="13"/>
  <c r="H1794" i="13"/>
  <c r="H1794" i="13" a="1"/>
  <c r="K1793" i="13"/>
  <c r="I1793" i="13"/>
  <c r="H1793" i="13"/>
  <c r="H1793" i="13" a="1"/>
  <c r="K1792" i="13"/>
  <c r="I1792" i="13"/>
  <c r="H1792" i="13"/>
  <c r="H1792" i="13" a="1"/>
  <c r="J1785" i="13"/>
  <c r="K1785" i="13" s="1"/>
  <c r="K1783" i="13"/>
  <c r="F1783" i="13"/>
  <c r="J1783" i="13" s="1"/>
  <c r="B1783" i="13"/>
  <c r="I1783" i="13" s="1"/>
  <c r="C1782" i="13" a="1"/>
  <c r="C1782" i="13" s="1"/>
  <c r="B1782" i="13"/>
  <c r="K1781" i="13"/>
  <c r="J1781" i="13"/>
  <c r="I1781" i="13"/>
  <c r="F1781" i="13"/>
  <c r="C1781" i="13"/>
  <c r="B1781" i="13"/>
  <c r="J1780" i="13"/>
  <c r="K1780" i="13" s="1"/>
  <c r="J1780" i="13" a="1"/>
  <c r="I1780" i="13" a="1"/>
  <c r="I1780" i="13" s="1"/>
  <c r="F1780" i="13" a="1"/>
  <c r="F1780" i="13" s="1"/>
  <c r="C1780" i="13" a="1"/>
  <c r="C1780" i="13" s="1"/>
  <c r="B1780" i="13" a="1"/>
  <c r="B1780" i="13" s="1"/>
  <c r="J1779" i="13"/>
  <c r="K1779" i="13" s="1"/>
  <c r="J1779" i="13" a="1"/>
  <c r="I1779" i="13"/>
  <c r="I1779" i="13" a="1"/>
  <c r="F1779" i="13" a="1"/>
  <c r="F1779" i="13" s="1"/>
  <c r="C1779" i="13"/>
  <c r="C1779" i="13" a="1"/>
  <c r="B1779" i="13"/>
  <c r="B1779" i="13" a="1"/>
  <c r="F1778" i="13"/>
  <c r="J1778" i="13" s="1"/>
  <c r="K1778" i="13" s="1"/>
  <c r="C1778" i="13"/>
  <c r="C1778" i="13" a="1"/>
  <c r="B1778" i="13"/>
  <c r="I1778" i="13" s="1"/>
  <c r="K1777" i="13"/>
  <c r="F1777" i="13"/>
  <c r="J1777" i="13" s="1"/>
  <c r="C1777" i="13" a="1"/>
  <c r="C1777" i="13" s="1"/>
  <c r="B1777" i="13" a="1"/>
  <c r="B1777" i="13" s="1"/>
  <c r="I1777" i="13" s="1"/>
  <c r="C1776" i="13"/>
  <c r="F1775" i="13"/>
  <c r="C1775" i="13"/>
  <c r="C1774" i="13"/>
  <c r="J1773" i="13"/>
  <c r="K1773" i="13" s="1"/>
  <c r="F1773" i="13"/>
  <c r="C1773" i="13"/>
  <c r="C1773" i="13" a="1"/>
  <c r="J1772" i="13"/>
  <c r="K1772" i="13" s="1"/>
  <c r="C1772" i="13"/>
  <c r="C1772" i="13" a="1"/>
  <c r="F1771" i="13"/>
  <c r="J1771" i="13" s="1"/>
  <c r="K1771" i="13" s="1"/>
  <c r="C1771" i="13" a="1"/>
  <c r="C1771" i="13" s="1"/>
  <c r="I1770" i="13" a="1"/>
  <c r="I1770" i="13" s="1"/>
  <c r="F1770" i="13" a="1"/>
  <c r="F1770" i="13" s="1"/>
  <c r="J1770" i="13" s="1"/>
  <c r="K1770" i="13" s="1"/>
  <c r="C1770" i="13" a="1"/>
  <c r="C1770" i="13" s="1"/>
  <c r="B1770" i="13"/>
  <c r="B1770" i="13" a="1"/>
  <c r="F1769" i="13"/>
  <c r="J1769" i="13" s="1"/>
  <c r="K1769" i="13" s="1"/>
  <c r="C1769" i="13"/>
  <c r="F1768" i="13"/>
  <c r="J1768" i="13" s="1"/>
  <c r="K1768" i="13" s="1"/>
  <c r="C1768" i="13"/>
  <c r="C1768" i="13" a="1"/>
  <c r="B1768" i="13"/>
  <c r="J1767" i="13"/>
  <c r="K1767" i="13" s="1"/>
  <c r="F1767" i="13"/>
  <c r="C1767" i="13" a="1"/>
  <c r="C1767" i="13" s="1"/>
  <c r="F1766" i="13"/>
  <c r="J1766" i="13" s="1"/>
  <c r="K1766" i="13" s="1"/>
  <c r="C1766" i="13"/>
  <c r="F1765" i="13"/>
  <c r="J1765" i="13" s="1"/>
  <c r="K1765" i="13" s="1"/>
  <c r="C1765" i="13" a="1"/>
  <c r="C1765" i="13" s="1"/>
  <c r="J1764" i="13"/>
  <c r="K1764" i="13" s="1"/>
  <c r="F1764" i="13"/>
  <c r="C1764" i="13"/>
  <c r="C1764" i="13" a="1"/>
  <c r="J1763" i="13"/>
  <c r="K1763" i="13" s="1"/>
  <c r="F1763" i="13"/>
  <c r="C1763" i="13" a="1"/>
  <c r="C1763" i="13" s="1"/>
  <c r="B1763" i="13"/>
  <c r="F1761" i="13"/>
  <c r="C1761" i="13"/>
  <c r="B1759" i="13"/>
  <c r="D1757" i="13" a="1"/>
  <c r="D1757" i="13" s="1"/>
  <c r="E1756" i="13" s="1"/>
  <c r="D1755" i="13"/>
  <c r="J1750" i="13" s="1"/>
  <c r="K1750" i="13" s="1"/>
  <c r="D1753" i="13"/>
  <c r="D1752" i="13" a="1"/>
  <c r="D1752" i="13" s="1"/>
  <c r="K1751" i="13"/>
  <c r="D1751" i="13"/>
  <c r="G1750" i="13" a="1"/>
  <c r="G1750" i="13" s="1"/>
  <c r="F1750" i="13" a="1"/>
  <c r="F1750" i="13" s="1"/>
  <c r="K1749" i="13"/>
  <c r="I1749" i="13"/>
  <c r="H1749" i="13"/>
  <c r="H1749" i="13" a="1"/>
  <c r="K1748" i="13"/>
  <c r="I1748" i="13"/>
  <c r="H1748" i="13" a="1"/>
  <c r="H1748" i="13" s="1"/>
  <c r="B1748" i="13" a="1"/>
  <c r="B1748" i="13" s="1"/>
  <c r="K1747" i="13"/>
  <c r="I1747" i="13"/>
  <c r="H1747" i="13" a="1"/>
  <c r="H1747" i="13" s="1"/>
  <c r="K1746" i="13"/>
  <c r="I1746" i="13"/>
  <c r="H1746" i="13" a="1"/>
  <c r="H1746" i="13" s="1"/>
  <c r="B1746" i="13"/>
  <c r="K1745" i="13"/>
  <c r="I1745" i="13"/>
  <c r="H1745" i="13" a="1"/>
  <c r="H1745" i="13" s="1"/>
  <c r="K1744" i="13"/>
  <c r="I1744" i="13"/>
  <c r="H1744" i="13"/>
  <c r="H1744" i="13" a="1"/>
  <c r="K1743" i="13"/>
  <c r="I1743" i="13"/>
  <c r="H1743" i="13" a="1"/>
  <c r="H1743" i="13" s="1"/>
  <c r="H1750" i="13" s="1" a="1"/>
  <c r="H1750" i="13" s="1"/>
  <c r="K1742" i="13"/>
  <c r="I1742" i="13"/>
  <c r="H1742" i="13"/>
  <c r="H1742" i="13" a="1"/>
  <c r="K1741" i="13"/>
  <c r="I1741" i="13"/>
  <c r="H1741" i="13" a="1"/>
  <c r="H1741" i="13" s="1"/>
  <c r="K1734" i="13"/>
  <c r="B1732" i="13"/>
  <c r="I1732" i="13" s="1"/>
  <c r="J1731" i="13"/>
  <c r="K1731" i="13" s="1"/>
  <c r="F1731" i="13"/>
  <c r="C1731" i="13" a="1"/>
  <c r="C1731" i="13" s="1"/>
  <c r="B1731" i="13"/>
  <c r="I1731" i="13" s="1"/>
  <c r="J1730" i="13"/>
  <c r="K1730" i="13" s="1"/>
  <c r="I1730" i="13"/>
  <c r="F1730" i="13"/>
  <c r="C1730" i="13"/>
  <c r="B1730" i="13"/>
  <c r="J1729" i="13" a="1"/>
  <c r="J1729" i="13" s="1"/>
  <c r="K1729" i="13" s="1"/>
  <c r="I1729" i="13"/>
  <c r="I1729" i="13" a="1"/>
  <c r="F1729" i="13" a="1"/>
  <c r="F1729" i="13" s="1"/>
  <c r="C1729" i="13" a="1"/>
  <c r="C1729" i="13" s="1"/>
  <c r="B1729" i="13" a="1"/>
  <c r="B1729" i="13" s="1"/>
  <c r="J1728" i="13" a="1"/>
  <c r="J1728" i="13" s="1"/>
  <c r="K1728" i="13" s="1"/>
  <c r="I1728" i="13"/>
  <c r="I1728" i="13" a="1"/>
  <c r="F1728" i="13"/>
  <c r="F1728" i="13" a="1"/>
  <c r="C1728" i="13"/>
  <c r="C1728" i="13" a="1"/>
  <c r="B1728" i="13" a="1"/>
  <c r="B1728" i="13" s="1"/>
  <c r="K1727" i="13"/>
  <c r="F1727" i="13"/>
  <c r="J1727" i="13" s="1"/>
  <c r="C1727" i="13" a="1"/>
  <c r="C1727" i="13" s="1"/>
  <c r="B1727" i="13"/>
  <c r="I1727" i="13" s="1"/>
  <c r="J1726" i="13"/>
  <c r="K1726" i="13" s="1"/>
  <c r="F1726" i="13"/>
  <c r="C1726" i="13" a="1"/>
  <c r="C1726" i="13" s="1"/>
  <c r="B1726" i="13"/>
  <c r="I1726" i="13" s="1"/>
  <c r="B1726" i="13" a="1"/>
  <c r="C1725" i="13"/>
  <c r="F1724" i="13"/>
  <c r="C1724" i="13"/>
  <c r="C1723" i="13"/>
  <c r="J1722" i="13"/>
  <c r="K1722" i="13" s="1"/>
  <c r="F1722" i="13"/>
  <c r="C1722" i="13"/>
  <c r="C1722" i="13" a="1"/>
  <c r="J1721" i="13"/>
  <c r="K1721" i="13" s="1"/>
  <c r="C1721" i="13"/>
  <c r="C1721" i="13" a="1"/>
  <c r="F1720" i="13"/>
  <c r="J1720" i="13" s="1"/>
  <c r="K1720" i="13" s="1"/>
  <c r="C1720" i="13"/>
  <c r="C1720" i="13" a="1"/>
  <c r="I1719" i="13" a="1"/>
  <c r="I1719" i="13" s="1"/>
  <c r="F1719" i="13" a="1"/>
  <c r="F1719" i="13" s="1"/>
  <c r="J1719" i="13" s="1"/>
  <c r="K1719" i="13" s="1"/>
  <c r="C1719" i="13"/>
  <c r="C1719" i="13" a="1"/>
  <c r="B1719" i="13" a="1"/>
  <c r="B1719" i="13" s="1"/>
  <c r="J1718" i="13"/>
  <c r="K1718" i="13" s="1"/>
  <c r="F1718" i="13"/>
  <c r="C1718" i="13"/>
  <c r="F1717" i="13"/>
  <c r="J1717" i="13" s="1"/>
  <c r="K1717" i="13" s="1"/>
  <c r="C1717" i="13"/>
  <c r="C1717" i="13" a="1"/>
  <c r="B1717" i="13"/>
  <c r="J1716" i="13"/>
  <c r="K1716" i="13" s="1"/>
  <c r="F1716" i="13"/>
  <c r="C1716" i="13" a="1"/>
  <c r="C1716" i="13" s="1"/>
  <c r="K1715" i="13"/>
  <c r="F1715" i="13"/>
  <c r="J1715" i="13" s="1"/>
  <c r="C1715" i="13"/>
  <c r="K1714" i="13"/>
  <c r="J1714" i="13"/>
  <c r="F1714" i="13"/>
  <c r="C1714" i="13" a="1"/>
  <c r="C1714" i="13" s="1"/>
  <c r="J1713" i="13"/>
  <c r="K1713" i="13" s="1"/>
  <c r="F1713" i="13"/>
  <c r="C1713" i="13"/>
  <c r="C1713" i="13" a="1"/>
  <c r="F1712" i="13"/>
  <c r="J1712" i="13" s="1"/>
  <c r="K1712" i="13" s="1"/>
  <c r="C1712" i="13" a="1"/>
  <c r="C1712" i="13" s="1"/>
  <c r="B1712" i="13"/>
  <c r="F1710" i="13"/>
  <c r="C1710" i="13"/>
  <c r="B1708" i="13"/>
  <c r="D1706" i="13" a="1"/>
  <c r="D1706" i="13" s="1"/>
  <c r="E1705" i="13" s="1"/>
  <c r="D1704" i="13"/>
  <c r="J1734" i="13" s="1"/>
  <c r="D1702" i="13"/>
  <c r="D1701" i="13" a="1"/>
  <c r="D1701" i="13" s="1"/>
  <c r="D1700" i="13"/>
  <c r="J1724" i="13" s="1"/>
  <c r="K1724" i="13" s="1"/>
  <c r="G1699" i="13"/>
  <c r="G1699" i="13" a="1"/>
  <c r="F1699" i="13" a="1"/>
  <c r="F1699" i="13" s="1"/>
  <c r="K1698" i="13"/>
  <c r="I1698" i="13"/>
  <c r="H1698" i="13" a="1"/>
  <c r="H1698" i="13" s="1"/>
  <c r="K1697" i="13"/>
  <c r="I1697" i="13"/>
  <c r="H1697" i="13" a="1"/>
  <c r="H1697" i="13" s="1"/>
  <c r="B1697" i="13" a="1"/>
  <c r="B1697" i="13" s="1"/>
  <c r="K1696" i="13"/>
  <c r="I1696" i="13"/>
  <c r="H1696" i="13"/>
  <c r="H1696" i="13" a="1"/>
  <c r="K1695" i="13"/>
  <c r="I1695" i="13"/>
  <c r="H1695" i="13" a="1"/>
  <c r="H1695" i="13" s="1"/>
  <c r="B1695" i="13"/>
  <c r="K1694" i="13"/>
  <c r="I1694" i="13"/>
  <c r="H1694" i="13" a="1"/>
  <c r="H1694" i="13" s="1"/>
  <c r="K1693" i="13"/>
  <c r="I1693" i="13"/>
  <c r="H1693" i="13"/>
  <c r="H1693" i="13" a="1"/>
  <c r="K1692" i="13"/>
  <c r="I1692" i="13"/>
  <c r="H1692" i="13" a="1"/>
  <c r="H1692" i="13" s="1"/>
  <c r="H1699" i="13" s="1" a="1"/>
  <c r="H1699" i="13" s="1"/>
  <c r="K1691" i="13"/>
  <c r="I1691" i="13"/>
  <c r="H1691" i="13"/>
  <c r="H1691" i="13" a="1"/>
  <c r="K1690" i="13"/>
  <c r="I1690" i="13"/>
  <c r="H1690" i="13" a="1"/>
  <c r="H1690" i="13" s="1"/>
  <c r="I1681" i="13"/>
  <c r="F1681" i="13"/>
  <c r="J1681" i="13" s="1"/>
  <c r="K1681" i="13" s="1"/>
  <c r="B1681" i="13"/>
  <c r="J1680" i="13"/>
  <c r="K1680" i="13" s="1"/>
  <c r="C1680" i="13" a="1"/>
  <c r="C1680" i="13" s="1"/>
  <c r="B1680" i="13"/>
  <c r="I1680" i="13" s="1"/>
  <c r="J1679" i="13"/>
  <c r="K1679" i="13" s="1"/>
  <c r="I1679" i="13"/>
  <c r="C1679" i="13"/>
  <c r="B1679" i="13"/>
  <c r="F1679" i="13" s="1"/>
  <c r="K1678" i="13"/>
  <c r="J1678" i="13"/>
  <c r="J1678" i="13" a="1"/>
  <c r="I1678" i="13" a="1"/>
  <c r="I1678" i="13" s="1"/>
  <c r="F1678" i="13" a="1"/>
  <c r="F1678" i="13" s="1"/>
  <c r="C1678" i="13" a="1"/>
  <c r="C1678" i="13" s="1"/>
  <c r="B1678" i="13"/>
  <c r="B1678" i="13" a="1"/>
  <c r="J1677" i="13"/>
  <c r="K1677" i="13" s="1"/>
  <c r="J1677" i="13" a="1"/>
  <c r="I1677" i="13"/>
  <c r="I1677" i="13" a="1"/>
  <c r="F1677" i="13"/>
  <c r="F1677" i="13" a="1"/>
  <c r="C1677" i="13" a="1"/>
  <c r="C1677" i="13" s="1"/>
  <c r="B1677" i="13"/>
  <c r="B1677" i="13" a="1"/>
  <c r="F1676" i="13"/>
  <c r="J1676" i="13" s="1"/>
  <c r="K1676" i="13" s="1"/>
  <c r="C1676" i="13" a="1"/>
  <c r="C1676" i="13" s="1"/>
  <c r="B1676" i="13"/>
  <c r="I1676" i="13" s="1"/>
  <c r="F1675" i="13"/>
  <c r="J1675" i="13" s="1"/>
  <c r="K1675" i="13" s="1"/>
  <c r="C1675" i="13"/>
  <c r="C1675" i="13" a="1"/>
  <c r="B1675" i="13" a="1"/>
  <c r="B1675" i="13" s="1"/>
  <c r="I1675" i="13" s="1"/>
  <c r="C1674" i="13"/>
  <c r="F1673" i="13"/>
  <c r="C1673" i="13"/>
  <c r="C1672" i="13"/>
  <c r="J1671" i="13"/>
  <c r="K1671" i="13" s="1"/>
  <c r="F1671" i="13"/>
  <c r="C1671" i="13" a="1"/>
  <c r="C1671" i="13" s="1"/>
  <c r="K1670" i="13"/>
  <c r="J1670" i="13"/>
  <c r="J1672" i="13" s="1"/>
  <c r="K1672" i="13" s="1"/>
  <c r="C1670" i="13"/>
  <c r="C1670" i="13" a="1"/>
  <c r="F1669" i="13"/>
  <c r="J1669" i="13" s="1"/>
  <c r="K1669" i="13" s="1"/>
  <c r="C1669" i="13" a="1"/>
  <c r="C1669" i="13" s="1"/>
  <c r="I1668" i="13" a="1"/>
  <c r="I1668" i="13" s="1"/>
  <c r="F1668" i="13" a="1"/>
  <c r="F1668" i="13" s="1"/>
  <c r="J1668" i="13" s="1"/>
  <c r="K1668" i="13" s="1"/>
  <c r="C1668" i="13" a="1"/>
  <c r="C1668" i="13" s="1"/>
  <c r="B1668" i="13" a="1"/>
  <c r="B1668" i="13" s="1"/>
  <c r="J1667" i="13"/>
  <c r="K1667" i="13" s="1"/>
  <c r="F1667" i="13"/>
  <c r="C1667" i="13"/>
  <c r="J1666" i="13"/>
  <c r="K1666" i="13" s="1"/>
  <c r="F1666" i="13"/>
  <c r="C1666" i="13"/>
  <c r="C1666" i="13" a="1"/>
  <c r="B1666" i="13"/>
  <c r="F1665" i="13"/>
  <c r="J1665" i="13" s="1"/>
  <c r="K1665" i="13" s="1"/>
  <c r="C1665" i="13"/>
  <c r="C1665" i="13" a="1"/>
  <c r="F1664" i="13"/>
  <c r="J1664" i="13" s="1"/>
  <c r="K1664" i="13" s="1"/>
  <c r="C1664" i="13"/>
  <c r="F1663" i="13"/>
  <c r="J1663" i="13" s="1"/>
  <c r="K1663" i="13" s="1"/>
  <c r="C1663" i="13" a="1"/>
  <c r="C1663" i="13" s="1"/>
  <c r="J1662" i="13"/>
  <c r="K1662" i="13" s="1"/>
  <c r="F1662" i="13"/>
  <c r="C1662" i="13" a="1"/>
  <c r="C1662" i="13" s="1"/>
  <c r="F1661" i="13"/>
  <c r="J1661" i="13" s="1"/>
  <c r="K1661" i="13" s="1"/>
  <c r="C1661" i="13" a="1"/>
  <c r="C1661" i="13" s="1"/>
  <c r="B1661" i="13"/>
  <c r="F1659" i="13"/>
  <c r="C1659" i="13"/>
  <c r="B1657" i="13"/>
  <c r="D1655" i="13" a="1"/>
  <c r="D1655" i="13" s="1"/>
  <c r="E1654" i="13" s="1"/>
  <c r="D1653" i="13"/>
  <c r="D1651" i="13"/>
  <c r="D1650" i="13" a="1"/>
  <c r="D1650" i="13" s="1"/>
  <c r="J1673" i="13" s="1"/>
  <c r="K1673" i="13" s="1"/>
  <c r="D1649" i="13"/>
  <c r="G1648" i="13" a="1"/>
  <c r="G1648" i="13" s="1"/>
  <c r="F1648" i="13" a="1"/>
  <c r="F1648" i="13" s="1"/>
  <c r="I1648" i="13" s="1"/>
  <c r="K1647" i="13"/>
  <c r="I1647" i="13"/>
  <c r="H1647" i="13" a="1"/>
  <c r="H1647" i="13" s="1"/>
  <c r="K1646" i="13"/>
  <c r="I1646" i="13"/>
  <c r="H1646" i="13" a="1"/>
  <c r="H1646" i="13" s="1"/>
  <c r="B1646" i="13" a="1"/>
  <c r="B1646" i="13" s="1"/>
  <c r="K1645" i="13"/>
  <c r="I1645" i="13"/>
  <c r="H1645" i="13" a="1"/>
  <c r="H1645" i="13" s="1"/>
  <c r="K1644" i="13"/>
  <c r="I1644" i="13"/>
  <c r="H1644" i="13" a="1"/>
  <c r="H1644" i="13" s="1"/>
  <c r="B1644" i="13"/>
  <c r="K1643" i="13"/>
  <c r="I1643" i="13"/>
  <c r="H1643" i="13"/>
  <c r="H1643" i="13" a="1"/>
  <c r="K1642" i="13"/>
  <c r="I1642" i="13"/>
  <c r="H1642" i="13"/>
  <c r="H1642" i="13" a="1"/>
  <c r="K1641" i="13"/>
  <c r="I1641" i="13"/>
  <c r="H1641" i="13"/>
  <c r="H1648" i="13" s="1" a="1"/>
  <c r="H1648" i="13" s="1"/>
  <c r="H1641" i="13" a="1"/>
  <c r="K1640" i="13"/>
  <c r="I1640" i="13"/>
  <c r="H1640" i="13"/>
  <c r="H1640" i="13" a="1"/>
  <c r="K1639" i="13"/>
  <c r="I1639" i="13"/>
  <c r="H1639" i="13"/>
  <c r="H1639" i="13" a="1"/>
  <c r="B1630" i="13"/>
  <c r="C1629" i="13" a="1"/>
  <c r="C1629" i="13" s="1"/>
  <c r="B1629" i="13"/>
  <c r="J1629" i="13" s="1"/>
  <c r="K1629" i="13" s="1"/>
  <c r="K1628" i="13"/>
  <c r="C1628" i="13"/>
  <c r="B1628" i="13"/>
  <c r="J1628" i="13" s="1"/>
  <c r="J1627" i="13" a="1"/>
  <c r="J1627" i="13" s="1"/>
  <c r="K1627" i="13" s="1"/>
  <c r="I1627" i="13" a="1"/>
  <c r="I1627" i="13" s="1"/>
  <c r="F1627" i="13" a="1"/>
  <c r="F1627" i="13" s="1"/>
  <c r="C1627" i="13" a="1"/>
  <c r="C1627" i="13" s="1"/>
  <c r="B1627" i="13" a="1"/>
  <c r="B1627" i="13" s="1"/>
  <c r="J1626" i="13"/>
  <c r="K1626" i="13" s="1"/>
  <c r="J1626" i="13" a="1"/>
  <c r="I1626" i="13"/>
  <c r="I1626" i="13" a="1"/>
  <c r="F1626" i="13" a="1"/>
  <c r="F1626" i="13" s="1"/>
  <c r="C1626" i="13"/>
  <c r="C1626" i="13" a="1"/>
  <c r="B1626" i="13"/>
  <c r="B1626" i="13" a="1"/>
  <c r="I1625" i="13"/>
  <c r="F1625" i="13"/>
  <c r="J1625" i="13" s="1"/>
  <c r="K1625" i="13" s="1"/>
  <c r="C1625" i="13"/>
  <c r="C1625" i="13" a="1"/>
  <c r="B1625" i="13"/>
  <c r="J1624" i="13"/>
  <c r="K1624" i="13" s="1"/>
  <c r="F1624" i="13"/>
  <c r="C1624" i="13" a="1"/>
  <c r="C1624" i="13" s="1"/>
  <c r="B1624" i="13" a="1"/>
  <c r="B1624" i="13" s="1"/>
  <c r="I1624" i="13" s="1"/>
  <c r="C1623" i="13"/>
  <c r="F1622" i="13"/>
  <c r="C1622" i="13"/>
  <c r="C1621" i="13"/>
  <c r="F1620" i="13"/>
  <c r="J1620" i="13" s="1"/>
  <c r="K1620" i="13" s="1"/>
  <c r="C1620" i="13"/>
  <c r="C1620" i="13" a="1"/>
  <c r="K1619" i="13"/>
  <c r="J1619" i="13"/>
  <c r="J1621" i="13" s="1"/>
  <c r="K1621" i="13" s="1"/>
  <c r="C1619" i="13"/>
  <c r="C1619" i="13" a="1"/>
  <c r="F1618" i="13"/>
  <c r="J1618" i="13" s="1"/>
  <c r="K1618" i="13" s="1"/>
  <c r="C1618" i="13" a="1"/>
  <c r="C1618" i="13" s="1"/>
  <c r="I1617" i="13" a="1"/>
  <c r="I1617" i="13" s="1"/>
  <c r="F1617" i="13" a="1"/>
  <c r="F1617" i="13" s="1"/>
  <c r="J1617" i="13" s="1"/>
  <c r="K1617" i="13" s="1"/>
  <c r="C1617" i="13" a="1"/>
  <c r="C1617" i="13" s="1"/>
  <c r="B1617" i="13" a="1"/>
  <c r="B1617" i="13" s="1"/>
  <c r="F1616" i="13"/>
  <c r="J1616" i="13" s="1"/>
  <c r="K1616" i="13" s="1"/>
  <c r="C1616" i="13"/>
  <c r="J1615" i="13"/>
  <c r="K1615" i="13" s="1"/>
  <c r="F1615" i="13"/>
  <c r="C1615" i="13"/>
  <c r="C1615" i="13" a="1"/>
  <c r="B1615" i="13"/>
  <c r="J1614" i="13"/>
  <c r="K1614" i="13" s="1"/>
  <c r="F1614" i="13"/>
  <c r="C1614" i="13"/>
  <c r="C1614" i="13" a="1"/>
  <c r="F1613" i="13"/>
  <c r="J1613" i="13" s="1"/>
  <c r="K1613" i="13" s="1"/>
  <c r="C1613" i="13"/>
  <c r="K1612" i="13"/>
  <c r="F1612" i="13"/>
  <c r="J1612" i="13" s="1"/>
  <c r="C1612" i="13" a="1"/>
  <c r="C1612" i="13" s="1"/>
  <c r="F1611" i="13"/>
  <c r="J1611" i="13" s="1"/>
  <c r="K1611" i="13" s="1"/>
  <c r="C1611" i="13"/>
  <c r="C1611" i="13" a="1"/>
  <c r="F1610" i="13"/>
  <c r="J1610" i="13" s="1"/>
  <c r="K1610" i="13" s="1"/>
  <c r="C1610" i="13" a="1"/>
  <c r="C1610" i="13" s="1"/>
  <c r="B1610" i="13"/>
  <c r="F1608" i="13"/>
  <c r="C1608" i="13"/>
  <c r="B1606" i="13"/>
  <c r="D1604" i="13"/>
  <c r="E1603" i="13" s="1"/>
  <c r="D1604" i="13" a="1"/>
  <c r="D1602" i="13"/>
  <c r="J1632" i="13" s="1"/>
  <c r="K1632" i="13" s="1"/>
  <c r="D1600" i="13"/>
  <c r="D1599" i="13"/>
  <c r="D1599" i="13" a="1"/>
  <c r="D1598" i="13"/>
  <c r="D1601" i="13" s="1"/>
  <c r="K1597" i="13"/>
  <c r="J1597" i="13"/>
  <c r="H1597" i="13" a="1"/>
  <c r="H1597" i="13" s="1"/>
  <c r="G1597" i="13" a="1"/>
  <c r="G1597" i="13" s="1"/>
  <c r="F1597" i="13" a="1"/>
  <c r="F1597" i="13" s="1"/>
  <c r="K1596" i="13"/>
  <c r="I1596" i="13"/>
  <c r="H1596" i="13" a="1"/>
  <c r="H1596" i="13" s="1"/>
  <c r="K1595" i="13"/>
  <c r="I1595" i="13"/>
  <c r="H1595" i="13" a="1"/>
  <c r="H1595" i="13" s="1"/>
  <c r="B1595" i="13" a="1"/>
  <c r="B1595" i="13" s="1"/>
  <c r="K1594" i="13"/>
  <c r="I1594" i="13"/>
  <c r="H1594" i="13" a="1"/>
  <c r="H1594" i="13" s="1"/>
  <c r="K1593" i="13"/>
  <c r="I1593" i="13"/>
  <c r="H1593" i="13" a="1"/>
  <c r="H1593" i="13" s="1"/>
  <c r="B1593" i="13"/>
  <c r="K1592" i="13"/>
  <c r="I1592" i="13"/>
  <c r="H1592" i="13"/>
  <c r="H1592" i="13" a="1"/>
  <c r="K1591" i="13"/>
  <c r="I1591" i="13"/>
  <c r="H1591" i="13" a="1"/>
  <c r="H1591" i="13" s="1"/>
  <c r="K1590" i="13"/>
  <c r="I1590" i="13"/>
  <c r="H1590" i="13"/>
  <c r="H1590" i="13" a="1"/>
  <c r="K1589" i="13"/>
  <c r="K1598" i="13" s="1"/>
  <c r="I1589" i="13"/>
  <c r="H1589" i="13" a="1"/>
  <c r="H1589" i="13" s="1"/>
  <c r="K1588" i="13"/>
  <c r="I1588" i="13"/>
  <c r="H1588" i="13"/>
  <c r="H1588" i="13" a="1"/>
  <c r="J1579" i="13"/>
  <c r="K1579" i="13" s="1"/>
  <c r="I1579" i="13"/>
  <c r="B1579" i="13"/>
  <c r="F1579" i="13" s="1"/>
  <c r="J1578" i="13"/>
  <c r="K1578" i="13" s="1"/>
  <c r="I1578" i="13"/>
  <c r="F1578" i="13"/>
  <c r="B1578" i="13"/>
  <c r="I1577" i="13"/>
  <c r="B1577" i="13"/>
  <c r="K1576" i="13"/>
  <c r="J1576" i="13" a="1"/>
  <c r="J1576" i="13" s="1"/>
  <c r="I1576" i="13" a="1"/>
  <c r="I1576" i="13" s="1"/>
  <c r="F1576" i="13" a="1"/>
  <c r="F1576" i="13" s="1"/>
  <c r="C1576" i="13" a="1"/>
  <c r="C1576" i="13" s="1"/>
  <c r="B1576" i="13" a="1"/>
  <c r="B1576" i="13" s="1"/>
  <c r="J1575" i="13"/>
  <c r="K1575" i="13" s="1"/>
  <c r="J1575" i="13" a="1"/>
  <c r="I1575" i="13" a="1"/>
  <c r="I1575" i="13" s="1"/>
  <c r="F1575" i="13"/>
  <c r="F1575" i="13" a="1"/>
  <c r="C1575" i="13"/>
  <c r="C1575" i="13" a="1"/>
  <c r="B1575" i="13"/>
  <c r="B1575" i="13" a="1"/>
  <c r="J1574" i="13"/>
  <c r="K1574" i="13" s="1"/>
  <c r="F1574" i="13"/>
  <c r="C1574" i="13"/>
  <c r="C1574" i="13" a="1"/>
  <c r="B1574" i="13"/>
  <c r="I1574" i="13" s="1"/>
  <c r="I1573" i="13"/>
  <c r="F1573" i="13"/>
  <c r="J1573" i="13" s="1"/>
  <c r="K1573" i="13" s="1"/>
  <c r="C1573" i="13" a="1"/>
  <c r="C1573" i="13" s="1"/>
  <c r="B1573" i="13" a="1"/>
  <c r="B1573" i="13" s="1"/>
  <c r="C1572" i="13"/>
  <c r="F1571" i="13"/>
  <c r="C1571" i="13"/>
  <c r="C1570" i="13"/>
  <c r="K1569" i="13"/>
  <c r="J1569" i="13"/>
  <c r="F1569" i="13"/>
  <c r="C1569" i="13"/>
  <c r="C1569" i="13" a="1"/>
  <c r="K1568" i="13"/>
  <c r="J1568" i="13"/>
  <c r="J1570" i="13" s="1"/>
  <c r="K1570" i="13" s="1"/>
  <c r="C1568" i="13"/>
  <c r="C1568" i="13" a="1"/>
  <c r="K1567" i="13"/>
  <c r="F1567" i="13"/>
  <c r="J1567" i="13" s="1"/>
  <c r="C1567" i="13" a="1"/>
  <c r="C1567" i="13" s="1"/>
  <c r="I1566" i="13" a="1"/>
  <c r="I1566" i="13" s="1"/>
  <c r="F1566" i="13" a="1"/>
  <c r="F1566" i="13" s="1"/>
  <c r="J1566" i="13" s="1"/>
  <c r="K1566" i="13" s="1"/>
  <c r="C1566" i="13" a="1"/>
  <c r="C1566" i="13" s="1"/>
  <c r="B1566" i="13" a="1"/>
  <c r="B1566" i="13" s="1"/>
  <c r="J1565" i="13"/>
  <c r="K1565" i="13" s="1"/>
  <c r="F1565" i="13"/>
  <c r="C1565" i="13"/>
  <c r="J1564" i="13"/>
  <c r="K1564" i="13" s="1"/>
  <c r="F1564" i="13"/>
  <c r="C1564" i="13"/>
  <c r="C1564" i="13" a="1"/>
  <c r="B1564" i="13"/>
  <c r="J1563" i="13"/>
  <c r="K1563" i="13" s="1"/>
  <c r="F1563" i="13"/>
  <c r="C1563" i="13"/>
  <c r="C1563" i="13" a="1"/>
  <c r="K1562" i="13"/>
  <c r="J1562" i="13"/>
  <c r="F1562" i="13"/>
  <c r="C1562" i="13"/>
  <c r="F1561" i="13"/>
  <c r="J1561" i="13" s="1"/>
  <c r="K1561" i="13" s="1"/>
  <c r="C1561" i="13" a="1"/>
  <c r="C1561" i="13" s="1"/>
  <c r="J1560" i="13"/>
  <c r="K1560" i="13" s="1"/>
  <c r="F1560" i="13"/>
  <c r="C1560" i="13"/>
  <c r="C1560" i="13" a="1"/>
  <c r="F1559" i="13"/>
  <c r="J1559" i="13" s="1"/>
  <c r="K1559" i="13" s="1"/>
  <c r="C1559" i="13" a="1"/>
  <c r="C1559" i="13" s="1"/>
  <c r="B1559" i="13"/>
  <c r="F1557" i="13"/>
  <c r="C1557" i="13"/>
  <c r="B1555" i="13"/>
  <c r="D1553" i="13" a="1"/>
  <c r="D1553" i="13" s="1"/>
  <c r="E1552" i="13" s="1"/>
  <c r="D1551" i="13"/>
  <c r="J1581" i="13" s="1"/>
  <c r="K1581" i="13" s="1"/>
  <c r="D1549" i="13"/>
  <c r="D1548" i="13" a="1"/>
  <c r="D1548" i="13" s="1"/>
  <c r="D1547" i="13"/>
  <c r="J1571" i="13" s="1"/>
  <c r="K1571" i="13" s="1"/>
  <c r="J1546" i="13"/>
  <c r="J1547" i="13" s="1"/>
  <c r="I1546" i="13"/>
  <c r="G1546" i="13" a="1"/>
  <c r="G1546" i="13" s="1"/>
  <c r="F1546" i="13" a="1"/>
  <c r="F1546" i="13" s="1"/>
  <c r="K1545" i="13"/>
  <c r="I1545" i="13"/>
  <c r="H1545" i="13" a="1"/>
  <c r="H1545" i="13" s="1"/>
  <c r="K1544" i="13"/>
  <c r="I1544" i="13"/>
  <c r="H1544" i="13" a="1"/>
  <c r="H1544" i="13" s="1"/>
  <c r="B1544" i="13"/>
  <c r="B1544" i="13" a="1"/>
  <c r="K1543" i="13"/>
  <c r="I1543" i="13"/>
  <c r="H1543" i="13" a="1"/>
  <c r="H1543" i="13" s="1"/>
  <c r="K1542" i="13"/>
  <c r="I1542" i="13"/>
  <c r="H1542" i="13"/>
  <c r="H1542" i="13" a="1"/>
  <c r="B1542" i="13"/>
  <c r="K1541" i="13"/>
  <c r="I1541" i="13"/>
  <c r="H1541" i="13"/>
  <c r="H1541" i="13" a="1"/>
  <c r="K1540" i="13"/>
  <c r="I1540" i="13"/>
  <c r="H1540" i="13"/>
  <c r="H1540" i="13" a="1"/>
  <c r="K1539" i="13"/>
  <c r="I1539" i="13"/>
  <c r="H1539" i="13"/>
  <c r="H1546" i="13" s="1" a="1"/>
  <c r="H1546" i="13" s="1"/>
  <c r="H1539" i="13" a="1"/>
  <c r="K1538" i="13"/>
  <c r="I1538" i="13"/>
  <c r="H1538" i="13"/>
  <c r="H1538" i="13" a="1"/>
  <c r="K1537" i="13"/>
  <c r="I1537" i="13"/>
  <c r="H1537" i="13"/>
  <c r="H1537" i="13" a="1"/>
  <c r="B1528" i="13"/>
  <c r="F1528" i="13" s="1"/>
  <c r="J1528" i="13" s="1"/>
  <c r="K1528" i="13" s="1"/>
  <c r="J1527" i="13"/>
  <c r="K1527" i="13" s="1"/>
  <c r="I1527" i="13"/>
  <c r="F1527" i="13"/>
  <c r="C1527" i="13" a="1"/>
  <c r="C1527" i="13" s="1"/>
  <c r="B1527" i="13"/>
  <c r="K1526" i="13"/>
  <c r="J1526" i="13"/>
  <c r="I1526" i="13"/>
  <c r="F1526" i="13"/>
  <c r="C1526" i="13"/>
  <c r="B1526" i="13"/>
  <c r="K1525" i="13"/>
  <c r="J1525" i="13" a="1"/>
  <c r="J1525" i="13" s="1"/>
  <c r="I1525" i="13"/>
  <c r="I1525" i="13" a="1"/>
  <c r="F1525" i="13" a="1"/>
  <c r="F1525" i="13" s="1"/>
  <c r="C1525" i="13" a="1"/>
  <c r="C1525" i="13" s="1"/>
  <c r="B1525" i="13" a="1"/>
  <c r="B1525" i="13" s="1"/>
  <c r="K1524" i="13"/>
  <c r="J1524" i="13"/>
  <c r="J1524" i="13" a="1"/>
  <c r="I1524" i="13"/>
  <c r="I1524" i="13" a="1"/>
  <c r="F1524" i="13"/>
  <c r="F1524" i="13" a="1"/>
  <c r="C1524" i="13" a="1"/>
  <c r="C1524" i="13" s="1"/>
  <c r="B1524" i="13"/>
  <c r="B1524" i="13" a="1"/>
  <c r="F1523" i="13"/>
  <c r="J1523" i="13" s="1"/>
  <c r="K1523" i="13" s="1"/>
  <c r="C1523" i="13" a="1"/>
  <c r="C1523" i="13" s="1"/>
  <c r="B1523" i="13"/>
  <c r="I1523" i="13" s="1"/>
  <c r="K1522" i="13"/>
  <c r="J1522" i="13"/>
  <c r="F1522" i="13"/>
  <c r="C1522" i="13" a="1"/>
  <c r="C1522" i="13" s="1"/>
  <c r="B1522" i="13"/>
  <c r="I1522" i="13" s="1"/>
  <c r="B1522" i="13" a="1"/>
  <c r="C1521" i="13"/>
  <c r="F1520" i="13"/>
  <c r="C1520" i="13"/>
  <c r="C1519" i="13"/>
  <c r="J1518" i="13"/>
  <c r="K1518" i="13" s="1"/>
  <c r="F1518" i="13"/>
  <c r="C1518" i="13" a="1"/>
  <c r="C1518" i="13" s="1"/>
  <c r="J1517" i="13"/>
  <c r="K1517" i="13" s="1"/>
  <c r="C1517" i="13"/>
  <c r="C1517" i="13" a="1"/>
  <c r="K1516" i="13"/>
  <c r="F1516" i="13"/>
  <c r="J1516" i="13" s="1"/>
  <c r="C1516" i="13" a="1"/>
  <c r="C1516" i="13" s="1"/>
  <c r="I1515" i="13" a="1"/>
  <c r="I1515" i="13" s="1"/>
  <c r="F1515" i="13" a="1"/>
  <c r="F1515" i="13" s="1"/>
  <c r="J1515" i="13" s="1"/>
  <c r="K1515" i="13" s="1"/>
  <c r="C1515" i="13"/>
  <c r="C1515" i="13" a="1"/>
  <c r="B1515" i="13" a="1"/>
  <c r="B1515" i="13" s="1"/>
  <c r="J1514" i="13"/>
  <c r="K1514" i="13" s="1"/>
  <c r="F1514" i="13"/>
  <c r="C1514" i="13"/>
  <c r="J1513" i="13"/>
  <c r="K1513" i="13" s="1"/>
  <c r="F1513" i="13"/>
  <c r="C1513" i="13"/>
  <c r="C1513" i="13" a="1"/>
  <c r="B1513" i="13"/>
  <c r="J1512" i="13"/>
  <c r="K1512" i="13" s="1"/>
  <c r="F1512" i="13"/>
  <c r="C1512" i="13" a="1"/>
  <c r="C1512" i="13" s="1"/>
  <c r="K1511" i="13"/>
  <c r="F1511" i="13"/>
  <c r="J1511" i="13" s="1"/>
  <c r="C1511" i="13"/>
  <c r="J1510" i="13"/>
  <c r="K1510" i="13" s="1"/>
  <c r="F1510" i="13"/>
  <c r="C1510" i="13" a="1"/>
  <c r="C1510" i="13" s="1"/>
  <c r="J1509" i="13"/>
  <c r="K1509" i="13" s="1"/>
  <c r="F1509" i="13"/>
  <c r="C1509" i="13" a="1"/>
  <c r="C1509" i="13" s="1"/>
  <c r="F1508" i="13"/>
  <c r="J1508" i="13" s="1"/>
  <c r="K1508" i="13" s="1"/>
  <c r="C1508" i="13" a="1"/>
  <c r="C1508" i="13" s="1"/>
  <c r="B1508" i="13"/>
  <c r="F1506" i="13"/>
  <c r="C1506" i="13"/>
  <c r="B1504" i="13"/>
  <c r="D1502" i="13"/>
  <c r="E1501" i="13" s="1"/>
  <c r="D1502" i="13" a="1"/>
  <c r="D1500" i="13"/>
  <c r="J1495" i="13" s="1"/>
  <c r="D1498" i="13"/>
  <c r="D1497" i="13"/>
  <c r="D1499" i="13" s="1"/>
  <c r="D1497" i="13" a="1"/>
  <c r="D1496" i="13"/>
  <c r="K1495" i="13"/>
  <c r="G1495" i="13"/>
  <c r="G1495" i="13" a="1"/>
  <c r="F1495" i="13" a="1"/>
  <c r="F1495" i="13" s="1"/>
  <c r="K1494" i="13"/>
  <c r="I1494" i="13"/>
  <c r="H1494" i="13" a="1"/>
  <c r="H1494" i="13" s="1"/>
  <c r="K1493" i="13"/>
  <c r="I1493" i="13"/>
  <c r="H1493" i="13" a="1"/>
  <c r="H1493" i="13" s="1"/>
  <c r="B1493" i="13"/>
  <c r="B1493" i="13" a="1"/>
  <c r="K1492" i="13"/>
  <c r="I1492" i="13"/>
  <c r="H1492" i="13"/>
  <c r="H1492" i="13" a="1"/>
  <c r="K1491" i="13"/>
  <c r="I1491" i="13"/>
  <c r="H1491" i="13" a="1"/>
  <c r="H1491" i="13" s="1"/>
  <c r="B1491" i="13"/>
  <c r="K1490" i="13"/>
  <c r="I1490" i="13"/>
  <c r="H1490" i="13" a="1"/>
  <c r="H1490" i="13" s="1"/>
  <c r="K1489" i="13"/>
  <c r="I1489" i="13"/>
  <c r="H1489" i="13"/>
  <c r="H1489" i="13" a="1"/>
  <c r="K1488" i="13"/>
  <c r="I1488" i="13"/>
  <c r="H1488" i="13" a="1"/>
  <c r="H1488" i="13" s="1"/>
  <c r="H1495" i="13" s="1" a="1"/>
  <c r="H1495" i="13" s="1"/>
  <c r="K1487" i="13"/>
  <c r="K1496" i="13" s="1"/>
  <c r="I1487" i="13"/>
  <c r="H1487" i="13" a="1"/>
  <c r="H1487" i="13" s="1"/>
  <c r="K1486" i="13"/>
  <c r="I1486" i="13"/>
  <c r="H1486" i="13" a="1"/>
  <c r="H1486" i="13" s="1"/>
  <c r="J1477" i="13"/>
  <c r="K1477" i="13" s="1"/>
  <c r="I1477" i="13"/>
  <c r="F1477" i="13"/>
  <c r="B1477" i="13"/>
  <c r="J1476" i="13"/>
  <c r="K1476" i="13" s="1"/>
  <c r="I1476" i="13"/>
  <c r="F1476" i="13"/>
  <c r="C1476" i="13" a="1"/>
  <c r="C1476" i="13" s="1"/>
  <c r="B1476" i="13"/>
  <c r="B1475" i="13"/>
  <c r="J1475" i="13" s="1"/>
  <c r="K1475" i="13" s="1"/>
  <c r="K1474" i="13"/>
  <c r="J1474" i="13" a="1"/>
  <c r="J1474" i="13" s="1"/>
  <c r="I1474" i="13" a="1"/>
  <c r="I1474" i="13" s="1"/>
  <c r="F1474" i="13" a="1"/>
  <c r="F1474" i="13" s="1"/>
  <c r="C1474" i="13" a="1"/>
  <c r="C1474" i="13" s="1"/>
  <c r="B1474" i="13" a="1"/>
  <c r="B1474" i="13" s="1"/>
  <c r="J1473" i="13" a="1"/>
  <c r="J1473" i="13" s="1"/>
  <c r="K1473" i="13" s="1"/>
  <c r="I1473" i="13" a="1"/>
  <c r="I1473" i="13" s="1"/>
  <c r="F1473" i="13"/>
  <c r="F1473" i="13" a="1"/>
  <c r="C1473" i="13" a="1"/>
  <c r="C1473" i="13" s="1"/>
  <c r="B1473" i="13" a="1"/>
  <c r="B1473" i="13" s="1"/>
  <c r="J1472" i="13"/>
  <c r="K1472" i="13" s="1"/>
  <c r="I1472" i="13"/>
  <c r="F1472" i="13"/>
  <c r="C1472" i="13" a="1"/>
  <c r="C1472" i="13" s="1"/>
  <c r="B1472" i="13"/>
  <c r="F1471" i="13"/>
  <c r="J1471" i="13" s="1"/>
  <c r="K1471" i="13" s="1"/>
  <c r="C1471" i="13" a="1"/>
  <c r="C1471" i="13" s="1"/>
  <c r="B1471" i="13" a="1"/>
  <c r="B1471" i="13" s="1"/>
  <c r="I1471" i="13" s="1"/>
  <c r="C1470" i="13"/>
  <c r="F1469" i="13"/>
  <c r="C1469" i="13"/>
  <c r="C1468" i="13"/>
  <c r="J1467" i="13"/>
  <c r="K1467" i="13" s="1"/>
  <c r="F1467" i="13"/>
  <c r="C1467" i="13"/>
  <c r="C1467" i="13" a="1"/>
  <c r="J1466" i="13"/>
  <c r="K1466" i="13" s="1"/>
  <c r="C1466" i="13" a="1"/>
  <c r="C1466" i="13" s="1"/>
  <c r="K1465" i="13"/>
  <c r="F1465" i="13"/>
  <c r="J1465" i="13" s="1"/>
  <c r="C1465" i="13" a="1"/>
  <c r="C1465" i="13" s="1"/>
  <c r="I1464" i="13" a="1"/>
  <c r="I1464" i="13" s="1"/>
  <c r="F1464" i="13" a="1"/>
  <c r="F1464" i="13" s="1"/>
  <c r="J1464" i="13" s="1"/>
  <c r="K1464" i="13" s="1"/>
  <c r="C1464" i="13" a="1"/>
  <c r="C1464" i="13" s="1"/>
  <c r="B1464" i="13"/>
  <c r="B1464" i="13" a="1"/>
  <c r="J1463" i="13"/>
  <c r="K1463" i="13" s="1"/>
  <c r="F1463" i="13"/>
  <c r="C1463" i="13"/>
  <c r="J1462" i="13"/>
  <c r="K1462" i="13" s="1"/>
  <c r="F1462" i="13"/>
  <c r="C1462" i="13" a="1"/>
  <c r="C1462" i="13" s="1"/>
  <c r="B1462" i="13"/>
  <c r="J1461" i="13"/>
  <c r="K1461" i="13" s="1"/>
  <c r="F1461" i="13"/>
  <c r="C1461" i="13" a="1"/>
  <c r="C1461" i="13" s="1"/>
  <c r="F1460" i="13"/>
  <c r="J1460" i="13" s="1"/>
  <c r="K1460" i="13" s="1"/>
  <c r="C1460" i="13"/>
  <c r="F1459" i="13"/>
  <c r="J1459" i="13" s="1"/>
  <c r="K1459" i="13" s="1"/>
  <c r="C1459" i="13"/>
  <c r="C1459" i="13" a="1"/>
  <c r="J1458" i="13"/>
  <c r="K1458" i="13" s="1"/>
  <c r="F1458" i="13"/>
  <c r="C1458" i="13"/>
  <c r="C1458" i="13" a="1"/>
  <c r="J1457" i="13"/>
  <c r="K1457" i="13" s="1"/>
  <c r="F1457" i="13"/>
  <c r="C1457" i="13" a="1"/>
  <c r="C1457" i="13" s="1"/>
  <c r="B1457" i="13"/>
  <c r="F1455" i="13"/>
  <c r="C1455" i="13"/>
  <c r="B1453" i="13"/>
  <c r="D1451" i="13" a="1"/>
  <c r="D1451" i="13" s="1"/>
  <c r="E1450" i="13" s="1"/>
  <c r="D1449" i="13"/>
  <c r="J1479" i="13" s="1"/>
  <c r="K1479" i="13" s="1"/>
  <c r="D1447" i="13"/>
  <c r="J1446" i="13"/>
  <c r="K1446" i="13" s="1"/>
  <c r="D1446" i="13" a="1"/>
  <c r="D1446" i="13" s="1"/>
  <c r="J1445" i="13"/>
  <c r="D1445" i="13"/>
  <c r="D1448" i="13" s="1"/>
  <c r="J1444" i="13"/>
  <c r="K1444" i="13" s="1"/>
  <c r="I1444" i="13"/>
  <c r="G1444" i="13" a="1"/>
  <c r="G1444" i="13" s="1"/>
  <c r="F1444" i="13"/>
  <c r="F1444" i="13" a="1"/>
  <c r="K1443" i="13"/>
  <c r="I1443" i="13"/>
  <c r="H1443" i="13" a="1"/>
  <c r="H1443" i="13" s="1"/>
  <c r="K1442" i="13"/>
  <c r="I1442" i="13"/>
  <c r="H1442" i="13"/>
  <c r="H1442" i="13" a="1"/>
  <c r="B1442" i="13" a="1"/>
  <c r="B1442" i="13" s="1"/>
  <c r="K1441" i="13"/>
  <c r="I1441" i="13"/>
  <c r="H1441" i="13" a="1"/>
  <c r="H1441" i="13" s="1"/>
  <c r="K1440" i="13"/>
  <c r="I1440" i="13"/>
  <c r="H1440" i="13" a="1"/>
  <c r="H1440" i="13" s="1"/>
  <c r="B1440" i="13"/>
  <c r="K1439" i="13"/>
  <c r="I1439" i="13"/>
  <c r="H1439" i="13"/>
  <c r="H1439" i="13" a="1"/>
  <c r="K1438" i="13"/>
  <c r="I1438" i="13"/>
  <c r="H1438" i="13"/>
  <c r="H1438" i="13" a="1"/>
  <c r="K1437" i="13"/>
  <c r="K1445" i="13" s="1"/>
  <c r="I1437" i="13"/>
  <c r="H1437" i="13"/>
  <c r="H1444" i="13" s="1" a="1"/>
  <c r="H1444" i="13" s="1"/>
  <c r="H1437" i="13" a="1"/>
  <c r="K1436" i="13"/>
  <c r="I1436" i="13"/>
  <c r="H1436" i="13"/>
  <c r="H1436" i="13" a="1"/>
  <c r="K1435" i="13"/>
  <c r="I1435" i="13"/>
  <c r="H1435" i="13"/>
  <c r="H1435" i="13" a="1"/>
  <c r="B1426" i="13"/>
  <c r="I1426" i="13" s="1"/>
  <c r="F1425" i="13"/>
  <c r="C1425" i="13" a="1"/>
  <c r="C1425" i="13" s="1"/>
  <c r="B1425" i="13"/>
  <c r="J1425" i="13" s="1"/>
  <c r="K1425" i="13" s="1"/>
  <c r="K1424" i="13"/>
  <c r="J1424" i="13"/>
  <c r="I1424" i="13"/>
  <c r="F1424" i="13"/>
  <c r="C1424" i="13"/>
  <c r="B1424" i="13"/>
  <c r="J1423" i="13" a="1"/>
  <c r="J1423" i="13" s="1"/>
  <c r="K1423" i="13" s="1"/>
  <c r="I1423" i="13"/>
  <c r="I1423" i="13" a="1"/>
  <c r="F1423" i="13" a="1"/>
  <c r="F1423" i="13" s="1"/>
  <c r="C1423" i="13" a="1"/>
  <c r="C1423" i="13" s="1"/>
  <c r="B1423" i="13" a="1"/>
  <c r="B1423" i="13" s="1"/>
  <c r="J1422" i="13" a="1"/>
  <c r="J1422" i="13" s="1"/>
  <c r="K1422" i="13" s="1"/>
  <c r="I1422" i="13"/>
  <c r="I1422" i="13" a="1"/>
  <c r="F1422" i="13" a="1"/>
  <c r="F1422" i="13" s="1"/>
  <c r="C1422" i="13"/>
  <c r="C1422" i="13" a="1"/>
  <c r="B1422" i="13" a="1"/>
  <c r="B1422" i="13" s="1"/>
  <c r="K1421" i="13"/>
  <c r="I1421" i="13"/>
  <c r="F1421" i="13"/>
  <c r="J1421" i="13" s="1"/>
  <c r="C1421" i="13"/>
  <c r="C1421" i="13" a="1"/>
  <c r="B1421" i="13"/>
  <c r="J1420" i="13"/>
  <c r="K1420" i="13" s="1"/>
  <c r="F1420" i="13"/>
  <c r="C1420" i="13" a="1"/>
  <c r="C1420" i="13" s="1"/>
  <c r="B1420" i="13"/>
  <c r="I1420" i="13" s="1"/>
  <c r="B1420" i="13" a="1"/>
  <c r="C1419" i="13"/>
  <c r="F1418" i="13"/>
  <c r="C1418" i="13"/>
  <c r="C1417" i="13"/>
  <c r="F1416" i="13"/>
  <c r="J1416" i="13" s="1"/>
  <c r="K1416" i="13" s="1"/>
  <c r="C1416" i="13"/>
  <c r="C1416" i="13" a="1"/>
  <c r="J1415" i="13"/>
  <c r="K1415" i="13" s="1"/>
  <c r="C1415" i="13"/>
  <c r="C1415" i="13" a="1"/>
  <c r="F1414" i="13"/>
  <c r="J1414" i="13" s="1"/>
  <c r="K1414" i="13" s="1"/>
  <c r="C1414" i="13"/>
  <c r="C1414" i="13" a="1"/>
  <c r="I1413" i="13" a="1"/>
  <c r="I1413" i="13" s="1"/>
  <c r="F1413" i="13" a="1"/>
  <c r="F1413" i="13" s="1"/>
  <c r="J1413" i="13" s="1"/>
  <c r="K1413" i="13" s="1"/>
  <c r="C1413" i="13"/>
  <c r="C1413" i="13" a="1"/>
  <c r="B1413" i="13" a="1"/>
  <c r="B1413" i="13" s="1"/>
  <c r="J1412" i="13"/>
  <c r="K1412" i="13" s="1"/>
  <c r="F1412" i="13"/>
  <c r="C1412" i="13"/>
  <c r="K1411" i="13"/>
  <c r="J1411" i="13"/>
  <c r="F1411" i="13"/>
  <c r="C1411" i="13"/>
  <c r="C1411" i="13" a="1"/>
  <c r="B1411" i="13"/>
  <c r="J1410" i="13"/>
  <c r="K1410" i="13" s="1"/>
  <c r="F1410" i="13"/>
  <c r="C1410" i="13" a="1"/>
  <c r="C1410" i="13" s="1"/>
  <c r="F1409" i="13"/>
  <c r="J1409" i="13" s="1"/>
  <c r="K1409" i="13" s="1"/>
  <c r="C1409" i="13"/>
  <c r="K1408" i="13"/>
  <c r="J1408" i="13"/>
  <c r="F1408" i="13"/>
  <c r="C1408" i="13" a="1"/>
  <c r="C1408" i="13" s="1"/>
  <c r="J1407" i="13"/>
  <c r="K1407" i="13" s="1"/>
  <c r="F1407" i="13"/>
  <c r="C1407" i="13"/>
  <c r="C1407" i="13" a="1"/>
  <c r="F1406" i="13"/>
  <c r="J1406" i="13" s="1"/>
  <c r="K1406" i="13" s="1"/>
  <c r="C1406" i="13" a="1"/>
  <c r="C1406" i="13" s="1"/>
  <c r="B1406" i="13"/>
  <c r="F1404" i="13"/>
  <c r="C1404" i="13"/>
  <c r="B1402" i="13"/>
  <c r="D1400" i="13" a="1"/>
  <c r="D1400" i="13" s="1"/>
  <c r="E1399" i="13" s="1"/>
  <c r="D1398" i="13"/>
  <c r="J1428" i="13" s="1"/>
  <c r="K1428" i="13" s="1"/>
  <c r="D1396" i="13"/>
  <c r="D1395" i="13" a="1"/>
  <c r="D1395" i="13" s="1"/>
  <c r="D1394" i="13"/>
  <c r="H1393" i="13" a="1"/>
  <c r="H1393" i="13" s="1"/>
  <c r="G1393" i="13"/>
  <c r="G1393" i="13" a="1"/>
  <c r="F1393" i="13" a="1"/>
  <c r="F1393" i="13" s="1"/>
  <c r="K1392" i="13"/>
  <c r="I1392" i="13"/>
  <c r="H1392" i="13" a="1"/>
  <c r="H1392" i="13" s="1"/>
  <c r="K1391" i="13"/>
  <c r="I1391" i="13"/>
  <c r="H1391" i="13" a="1"/>
  <c r="H1391" i="13" s="1"/>
  <c r="B1391" i="13" a="1"/>
  <c r="B1391" i="13" s="1"/>
  <c r="K1390" i="13"/>
  <c r="I1390" i="13"/>
  <c r="H1390" i="13"/>
  <c r="H1390" i="13" a="1"/>
  <c r="K1389" i="13"/>
  <c r="I1389" i="13"/>
  <c r="H1389" i="13" a="1"/>
  <c r="H1389" i="13" s="1"/>
  <c r="B1389" i="13"/>
  <c r="K1388" i="13"/>
  <c r="I1388" i="13"/>
  <c r="H1388" i="13"/>
  <c r="H1388" i="13" a="1"/>
  <c r="K1387" i="13"/>
  <c r="I1387" i="13"/>
  <c r="H1387" i="13"/>
  <c r="H1387" i="13" a="1"/>
  <c r="K1386" i="13"/>
  <c r="I1386" i="13"/>
  <c r="H1386" i="13"/>
  <c r="H1386" i="13" a="1"/>
  <c r="K1385" i="13"/>
  <c r="I1385" i="13"/>
  <c r="H1385" i="13"/>
  <c r="H1385" i="13" a="1"/>
  <c r="K1384" i="13"/>
  <c r="I1384" i="13"/>
  <c r="H1384" i="13"/>
  <c r="H1384" i="13" a="1"/>
  <c r="I1375" i="13"/>
  <c r="F1375" i="13"/>
  <c r="J1375" i="13" s="1"/>
  <c r="K1375" i="13" s="1"/>
  <c r="B1375" i="13"/>
  <c r="J1374" i="13"/>
  <c r="K1374" i="13" s="1"/>
  <c r="C1374" i="13" a="1"/>
  <c r="C1374" i="13" s="1"/>
  <c r="B1374" i="13"/>
  <c r="F1374" i="13" s="1"/>
  <c r="I1373" i="13"/>
  <c r="C1373" i="13"/>
  <c r="B1373" i="13"/>
  <c r="J1373" i="13" s="1"/>
  <c r="K1373" i="13" s="1"/>
  <c r="K1372" i="13"/>
  <c r="J1372" i="13"/>
  <c r="J1372" i="13" a="1"/>
  <c r="I1372" i="13" a="1"/>
  <c r="I1372" i="13" s="1"/>
  <c r="F1372" i="13" a="1"/>
  <c r="F1372" i="13" s="1"/>
  <c r="C1372" i="13" a="1"/>
  <c r="C1372" i="13" s="1"/>
  <c r="B1372" i="13"/>
  <c r="B1372" i="13" a="1"/>
  <c r="J1371" i="13"/>
  <c r="K1371" i="13" s="1"/>
  <c r="J1371" i="13" a="1"/>
  <c r="I1371" i="13"/>
  <c r="I1371" i="13" a="1"/>
  <c r="F1371" i="13"/>
  <c r="F1371" i="13" a="1"/>
  <c r="C1371" i="13"/>
  <c r="C1371" i="13" a="1"/>
  <c r="B1371" i="13"/>
  <c r="B1371" i="13" a="1"/>
  <c r="F1370" i="13"/>
  <c r="J1370" i="13" s="1"/>
  <c r="K1370" i="13" s="1"/>
  <c r="C1370" i="13"/>
  <c r="C1370" i="13" a="1"/>
  <c r="B1370" i="13"/>
  <c r="I1370" i="13" s="1"/>
  <c r="F1369" i="13"/>
  <c r="J1369" i="13" s="1"/>
  <c r="K1369" i="13" s="1"/>
  <c r="C1369" i="13"/>
  <c r="C1369" i="13" a="1"/>
  <c r="B1369" i="13" a="1"/>
  <c r="B1369" i="13" s="1"/>
  <c r="I1369" i="13" s="1"/>
  <c r="C1368" i="13"/>
  <c r="F1367" i="13"/>
  <c r="C1367" i="13"/>
  <c r="C1366" i="13"/>
  <c r="J1365" i="13"/>
  <c r="K1365" i="13" s="1"/>
  <c r="F1365" i="13"/>
  <c r="C1365" i="13"/>
  <c r="C1365" i="13" a="1"/>
  <c r="K1364" i="13"/>
  <c r="J1364" i="13"/>
  <c r="J1366" i="13" s="1"/>
  <c r="K1366" i="13" s="1"/>
  <c r="C1364" i="13"/>
  <c r="C1364" i="13" a="1"/>
  <c r="K1363" i="13"/>
  <c r="J1363" i="13"/>
  <c r="F1363" i="13"/>
  <c r="C1363" i="13" a="1"/>
  <c r="C1363" i="13" s="1"/>
  <c r="I1362" i="13" a="1"/>
  <c r="I1362" i="13" s="1"/>
  <c r="F1362" i="13" a="1"/>
  <c r="F1362" i="13" s="1"/>
  <c r="J1362" i="13" s="1"/>
  <c r="K1362" i="13" s="1"/>
  <c r="C1362" i="13" a="1"/>
  <c r="C1362" i="13" s="1"/>
  <c r="B1362" i="13" a="1"/>
  <c r="B1362" i="13" s="1"/>
  <c r="J1361" i="13"/>
  <c r="K1361" i="13" s="1"/>
  <c r="F1361" i="13"/>
  <c r="C1361" i="13"/>
  <c r="J1360" i="13"/>
  <c r="K1360" i="13" s="1"/>
  <c r="F1360" i="13"/>
  <c r="C1360" i="13" a="1"/>
  <c r="C1360" i="13" s="1"/>
  <c r="B1360" i="13"/>
  <c r="J1359" i="13"/>
  <c r="K1359" i="13" s="1"/>
  <c r="F1359" i="13"/>
  <c r="C1359" i="13"/>
  <c r="C1359" i="13" a="1"/>
  <c r="F1358" i="13"/>
  <c r="J1358" i="13" s="1"/>
  <c r="K1358" i="13" s="1"/>
  <c r="C1358" i="13"/>
  <c r="F1357" i="13"/>
  <c r="J1357" i="13" s="1"/>
  <c r="K1357" i="13" s="1"/>
  <c r="C1357" i="13" a="1"/>
  <c r="C1357" i="13" s="1"/>
  <c r="J1356" i="13"/>
  <c r="K1356" i="13" s="1"/>
  <c r="F1356" i="13"/>
  <c r="C1356" i="13"/>
  <c r="C1356" i="13" a="1"/>
  <c r="F1355" i="13"/>
  <c r="J1355" i="13" s="1"/>
  <c r="K1355" i="13" s="1"/>
  <c r="C1355" i="13" a="1"/>
  <c r="C1355" i="13" s="1"/>
  <c r="B1355" i="13"/>
  <c r="F1353" i="13"/>
  <c r="C1353" i="13"/>
  <c r="B1351" i="13"/>
  <c r="D1349" i="13" a="1"/>
  <c r="D1349" i="13" s="1"/>
  <c r="E1348" i="13" s="1"/>
  <c r="D1347" i="13"/>
  <c r="D1345" i="13"/>
  <c r="D1344" i="13" a="1"/>
  <c r="D1344" i="13" s="1"/>
  <c r="J1367" i="13" s="1"/>
  <c r="K1367" i="13" s="1"/>
  <c r="D1343" i="13"/>
  <c r="G1342" i="13" a="1"/>
  <c r="G1342" i="13" s="1"/>
  <c r="F1342" i="13" a="1"/>
  <c r="F1342" i="13" s="1"/>
  <c r="I1342" i="13" s="1"/>
  <c r="K1341" i="13"/>
  <c r="I1341" i="13"/>
  <c r="H1341" i="13" a="1"/>
  <c r="H1341" i="13" s="1"/>
  <c r="K1340" i="13"/>
  <c r="I1340" i="13"/>
  <c r="H1340" i="13" a="1"/>
  <c r="H1340" i="13" s="1"/>
  <c r="B1340" i="13" a="1"/>
  <c r="B1340" i="13" s="1"/>
  <c r="K1339" i="13"/>
  <c r="I1339" i="13"/>
  <c r="H1339" i="13" a="1"/>
  <c r="H1339" i="13" s="1"/>
  <c r="K1338" i="13"/>
  <c r="I1338" i="13"/>
  <c r="H1338" i="13" a="1"/>
  <c r="H1338" i="13" s="1"/>
  <c r="B1338" i="13"/>
  <c r="K1337" i="13"/>
  <c r="I1337" i="13"/>
  <c r="H1337" i="13"/>
  <c r="H1337" i="13" a="1"/>
  <c r="K1336" i="13"/>
  <c r="I1336" i="13"/>
  <c r="H1336" i="13"/>
  <c r="H1336" i="13" a="1"/>
  <c r="K1335" i="13"/>
  <c r="I1335" i="13"/>
  <c r="H1335" i="13"/>
  <c r="H1342" i="13" s="1" a="1"/>
  <c r="H1342" i="13" s="1"/>
  <c r="H1335" i="13" a="1"/>
  <c r="K1334" i="13"/>
  <c r="I1334" i="13"/>
  <c r="H1334" i="13"/>
  <c r="H1334" i="13" a="1"/>
  <c r="K1333" i="13"/>
  <c r="I1333" i="13"/>
  <c r="H1333" i="13"/>
  <c r="H1333" i="13" a="1"/>
  <c r="B1324" i="13"/>
  <c r="F1323" i="13"/>
  <c r="C1323" i="13" a="1"/>
  <c r="C1323" i="13" s="1"/>
  <c r="B1323" i="13"/>
  <c r="J1323" i="13" s="1"/>
  <c r="K1323" i="13" s="1"/>
  <c r="C1322" i="13"/>
  <c r="B1322" i="13"/>
  <c r="I1322" i="13" s="1"/>
  <c r="J1321" i="13" a="1"/>
  <c r="J1321" i="13" s="1"/>
  <c r="K1321" i="13" s="1"/>
  <c r="I1321" i="13" a="1"/>
  <c r="I1321" i="13" s="1"/>
  <c r="F1321" i="13" a="1"/>
  <c r="F1321" i="13" s="1"/>
  <c r="C1321" i="13" a="1"/>
  <c r="C1321" i="13" s="1"/>
  <c r="B1321" i="13" a="1"/>
  <c r="B1321" i="13" s="1"/>
  <c r="J1320" i="13"/>
  <c r="K1320" i="13" s="1"/>
  <c r="J1320" i="13" a="1"/>
  <c r="I1320" i="13"/>
  <c r="I1320" i="13" a="1"/>
  <c r="F1320" i="13"/>
  <c r="F1320" i="13" a="1"/>
  <c r="C1320" i="13"/>
  <c r="C1320" i="13" a="1"/>
  <c r="B1320" i="13"/>
  <c r="B1320" i="13" a="1"/>
  <c r="K1319" i="13"/>
  <c r="J1319" i="13"/>
  <c r="I1319" i="13"/>
  <c r="F1319" i="13"/>
  <c r="C1319" i="13"/>
  <c r="C1319" i="13" a="1"/>
  <c r="B1319" i="13"/>
  <c r="J1318" i="13"/>
  <c r="K1318" i="13" s="1"/>
  <c r="F1318" i="13"/>
  <c r="C1318" i="13" a="1"/>
  <c r="C1318" i="13" s="1"/>
  <c r="B1318" i="13" a="1"/>
  <c r="B1318" i="13" s="1"/>
  <c r="I1318" i="13" s="1"/>
  <c r="C1317" i="13"/>
  <c r="F1316" i="13"/>
  <c r="C1316" i="13"/>
  <c r="C1315" i="13"/>
  <c r="J1314" i="13"/>
  <c r="K1314" i="13" s="1"/>
  <c r="F1314" i="13"/>
  <c r="C1314" i="13"/>
  <c r="C1314" i="13" a="1"/>
  <c r="K1313" i="13"/>
  <c r="J1313" i="13"/>
  <c r="J1315" i="13" s="1"/>
  <c r="K1315" i="13" s="1"/>
  <c r="C1313" i="13"/>
  <c r="C1313" i="13" a="1"/>
  <c r="F1312" i="13"/>
  <c r="J1312" i="13" s="1"/>
  <c r="K1312" i="13" s="1"/>
  <c r="C1312" i="13" a="1"/>
  <c r="C1312" i="13" s="1"/>
  <c r="I1311" i="13" a="1"/>
  <c r="I1311" i="13" s="1"/>
  <c r="F1311" i="13" a="1"/>
  <c r="F1311" i="13" s="1"/>
  <c r="J1311" i="13" s="1"/>
  <c r="K1311" i="13" s="1"/>
  <c r="C1311" i="13" a="1"/>
  <c r="C1311" i="13" s="1"/>
  <c r="B1311" i="13" a="1"/>
  <c r="B1311" i="13" s="1"/>
  <c r="J1310" i="13"/>
  <c r="K1310" i="13" s="1"/>
  <c r="F1310" i="13"/>
  <c r="C1310" i="13"/>
  <c r="J1309" i="13"/>
  <c r="K1309" i="13" s="1"/>
  <c r="F1309" i="13"/>
  <c r="C1309" i="13"/>
  <c r="C1309" i="13" a="1"/>
  <c r="B1309" i="13"/>
  <c r="J1308" i="13"/>
  <c r="K1308" i="13" s="1"/>
  <c r="F1308" i="13"/>
  <c r="C1308" i="13"/>
  <c r="C1308" i="13" a="1"/>
  <c r="K1307" i="13"/>
  <c r="J1307" i="13"/>
  <c r="F1307" i="13"/>
  <c r="C1307" i="13"/>
  <c r="F1306" i="13"/>
  <c r="J1306" i="13" s="1"/>
  <c r="K1306" i="13" s="1"/>
  <c r="C1306" i="13" a="1"/>
  <c r="C1306" i="13" s="1"/>
  <c r="K1305" i="13"/>
  <c r="J1305" i="13"/>
  <c r="F1305" i="13"/>
  <c r="C1305" i="13"/>
  <c r="C1305" i="13" a="1"/>
  <c r="F1304" i="13"/>
  <c r="J1304" i="13" s="1"/>
  <c r="K1304" i="13" s="1"/>
  <c r="C1304" i="13" a="1"/>
  <c r="C1304" i="13" s="1"/>
  <c r="B1304" i="13"/>
  <c r="F1302" i="13"/>
  <c r="C1302" i="13"/>
  <c r="B1300" i="13"/>
  <c r="D1298" i="13" a="1"/>
  <c r="D1298" i="13" s="1"/>
  <c r="E1297" i="13" s="1"/>
  <c r="D1296" i="13"/>
  <c r="J1326" i="13" s="1"/>
  <c r="K1326" i="13" s="1"/>
  <c r="D1294" i="13"/>
  <c r="D1293" i="13" a="1"/>
  <c r="D1293" i="13" s="1"/>
  <c r="D1292" i="13"/>
  <c r="K1291" i="13"/>
  <c r="J1291" i="13"/>
  <c r="H1291" i="13" a="1"/>
  <c r="H1291" i="13" s="1"/>
  <c r="G1291" i="13" a="1"/>
  <c r="G1291" i="13" s="1"/>
  <c r="F1291" i="13" a="1"/>
  <c r="F1291" i="13" s="1"/>
  <c r="K1290" i="13"/>
  <c r="I1290" i="13"/>
  <c r="H1290" i="13" a="1"/>
  <c r="H1290" i="13" s="1"/>
  <c r="K1289" i="13"/>
  <c r="I1289" i="13"/>
  <c r="H1289" i="13" a="1"/>
  <c r="H1289" i="13" s="1"/>
  <c r="B1289" i="13" a="1"/>
  <c r="B1289" i="13" s="1"/>
  <c r="K1288" i="13"/>
  <c r="I1288" i="13"/>
  <c r="H1288" i="13" a="1"/>
  <c r="H1288" i="13" s="1"/>
  <c r="K1287" i="13"/>
  <c r="I1287" i="13"/>
  <c r="H1287" i="13" a="1"/>
  <c r="H1287" i="13" s="1"/>
  <c r="B1287" i="13"/>
  <c r="K1286" i="13"/>
  <c r="I1286" i="13"/>
  <c r="H1286" i="13"/>
  <c r="H1286" i="13" a="1"/>
  <c r="K1285" i="13"/>
  <c r="I1285" i="13"/>
  <c r="H1285" i="13"/>
  <c r="H1285" i="13" a="1"/>
  <c r="K1284" i="13"/>
  <c r="I1284" i="13"/>
  <c r="H1284" i="13"/>
  <c r="H1284" i="13" a="1"/>
  <c r="K1283" i="13"/>
  <c r="I1283" i="13"/>
  <c r="H1283" i="13"/>
  <c r="H1283" i="13" a="1"/>
  <c r="K1282" i="13"/>
  <c r="I1282" i="13"/>
  <c r="H1282" i="13"/>
  <c r="H1282" i="13" a="1"/>
  <c r="I1273" i="13"/>
  <c r="B1273" i="13"/>
  <c r="F1273" i="13" s="1"/>
  <c r="J1273" i="13" s="1"/>
  <c r="K1273" i="13" s="1"/>
  <c r="J1272" i="13"/>
  <c r="K1272" i="13" s="1"/>
  <c r="I1272" i="13"/>
  <c r="F1272" i="13"/>
  <c r="C1272" i="13" a="1"/>
  <c r="C1272" i="13" s="1"/>
  <c r="B1272" i="13"/>
  <c r="I1271" i="13"/>
  <c r="F1271" i="13"/>
  <c r="C1271" i="13"/>
  <c r="B1271" i="13"/>
  <c r="J1271" i="13" s="1"/>
  <c r="K1271" i="13" s="1"/>
  <c r="K1270" i="13"/>
  <c r="J1270" i="13" a="1"/>
  <c r="J1270" i="13" s="1"/>
  <c r="I1270" i="13" a="1"/>
  <c r="I1270" i="13" s="1"/>
  <c r="F1270" i="13" a="1"/>
  <c r="F1270" i="13" s="1"/>
  <c r="C1270" i="13" a="1"/>
  <c r="C1270" i="13" s="1"/>
  <c r="B1270" i="13" a="1"/>
  <c r="B1270" i="13" s="1"/>
  <c r="J1269" i="13"/>
  <c r="K1269" i="13" s="1"/>
  <c r="J1269" i="13" a="1"/>
  <c r="I1269" i="13"/>
  <c r="I1269" i="13" a="1"/>
  <c r="F1269" i="13"/>
  <c r="F1269" i="13" a="1"/>
  <c r="C1269" i="13"/>
  <c r="C1269" i="13" a="1"/>
  <c r="B1269" i="13"/>
  <c r="B1269" i="13" a="1"/>
  <c r="K1268" i="13"/>
  <c r="J1268" i="13"/>
  <c r="F1268" i="13"/>
  <c r="C1268" i="13"/>
  <c r="C1268" i="13" a="1"/>
  <c r="B1268" i="13"/>
  <c r="I1268" i="13" s="1"/>
  <c r="F1267" i="13"/>
  <c r="J1267" i="13" s="1"/>
  <c r="K1267" i="13" s="1"/>
  <c r="C1267" i="13" a="1"/>
  <c r="C1267" i="13" s="1"/>
  <c r="B1267" i="13" a="1"/>
  <c r="B1267" i="13" s="1"/>
  <c r="I1267" i="13" s="1"/>
  <c r="C1266" i="13"/>
  <c r="F1265" i="13"/>
  <c r="C1265" i="13"/>
  <c r="K1264" i="13"/>
  <c r="C1264" i="13"/>
  <c r="J1263" i="13"/>
  <c r="K1263" i="13" s="1"/>
  <c r="F1263" i="13"/>
  <c r="C1263" i="13"/>
  <c r="C1263" i="13" a="1"/>
  <c r="K1262" i="13"/>
  <c r="J1262" i="13"/>
  <c r="J1264" i="13" s="1"/>
  <c r="C1262" i="13"/>
  <c r="C1262" i="13" a="1"/>
  <c r="F1261" i="13"/>
  <c r="J1261" i="13" s="1"/>
  <c r="K1261" i="13" s="1"/>
  <c r="C1261" i="13" a="1"/>
  <c r="C1261" i="13" s="1"/>
  <c r="J1260" i="13"/>
  <c r="K1260" i="13" s="1"/>
  <c r="I1260" i="13" a="1"/>
  <c r="I1260" i="13" s="1"/>
  <c r="F1260" i="13" a="1"/>
  <c r="F1260" i="13" s="1"/>
  <c r="C1260" i="13" a="1"/>
  <c r="C1260" i="13" s="1"/>
  <c r="B1260" i="13" a="1"/>
  <c r="B1260" i="13" s="1"/>
  <c r="J1259" i="13"/>
  <c r="K1259" i="13" s="1"/>
  <c r="F1259" i="13"/>
  <c r="C1259" i="13"/>
  <c r="F1258" i="13"/>
  <c r="J1258" i="13" s="1"/>
  <c r="K1258" i="13" s="1"/>
  <c r="C1258" i="13"/>
  <c r="C1258" i="13" a="1"/>
  <c r="B1258" i="13"/>
  <c r="J1257" i="13"/>
  <c r="K1257" i="13" s="1"/>
  <c r="F1257" i="13"/>
  <c r="C1257" i="13"/>
  <c r="C1257" i="13" a="1"/>
  <c r="K1256" i="13"/>
  <c r="F1256" i="13"/>
  <c r="J1256" i="13" s="1"/>
  <c r="C1256" i="13"/>
  <c r="K1255" i="13"/>
  <c r="F1255" i="13"/>
  <c r="J1255" i="13" s="1"/>
  <c r="C1255" i="13" a="1"/>
  <c r="C1255" i="13" s="1"/>
  <c r="J1254" i="13"/>
  <c r="K1254" i="13" s="1"/>
  <c r="F1254" i="13"/>
  <c r="C1254" i="13"/>
  <c r="C1254" i="13" a="1"/>
  <c r="F1253" i="13"/>
  <c r="J1253" i="13" s="1"/>
  <c r="K1253" i="13" s="1"/>
  <c r="C1253" i="13" a="1"/>
  <c r="C1253" i="13" s="1"/>
  <c r="B1253" i="13"/>
  <c r="F1251" i="13"/>
  <c r="C1251" i="13"/>
  <c r="B1249" i="13"/>
  <c r="D1247" i="13" a="1"/>
  <c r="D1247" i="13" s="1"/>
  <c r="E1246" i="13" s="1"/>
  <c r="D1245" i="13"/>
  <c r="D1243" i="13"/>
  <c r="D1242" i="13" a="1"/>
  <c r="D1242" i="13" s="1"/>
  <c r="D1241" i="13"/>
  <c r="G1240" i="13" a="1"/>
  <c r="G1240" i="13" s="1"/>
  <c r="F1240" i="13" a="1"/>
  <c r="F1240" i="13" s="1"/>
  <c r="K1239" i="13"/>
  <c r="I1239" i="13"/>
  <c r="H1239" i="13" a="1"/>
  <c r="H1239" i="13" s="1"/>
  <c r="K1238" i="13"/>
  <c r="I1238" i="13"/>
  <c r="H1238" i="13" a="1"/>
  <c r="H1238" i="13" s="1"/>
  <c r="B1238" i="13" a="1"/>
  <c r="B1238" i="13" s="1"/>
  <c r="K1237" i="13"/>
  <c r="I1237" i="13"/>
  <c r="H1237" i="13" a="1"/>
  <c r="H1237" i="13" s="1"/>
  <c r="K1236" i="13"/>
  <c r="I1236" i="13"/>
  <c r="H1236" i="13" a="1"/>
  <c r="H1236" i="13" s="1"/>
  <c r="B1236" i="13"/>
  <c r="K1235" i="13"/>
  <c r="I1235" i="13"/>
  <c r="H1235" i="13" a="1"/>
  <c r="H1235" i="13" s="1"/>
  <c r="K1234" i="13"/>
  <c r="I1234" i="13"/>
  <c r="H1234" i="13"/>
  <c r="H1234" i="13" a="1"/>
  <c r="K1233" i="13"/>
  <c r="I1233" i="13"/>
  <c r="H1233" i="13" a="1"/>
  <c r="H1233" i="13" s="1"/>
  <c r="H1240" i="13" s="1" a="1"/>
  <c r="H1240" i="13" s="1"/>
  <c r="K1232" i="13"/>
  <c r="I1232" i="13"/>
  <c r="H1232" i="13"/>
  <c r="H1232" i="13" a="1"/>
  <c r="K1231" i="13"/>
  <c r="I1231" i="13"/>
  <c r="H1231" i="13" a="1"/>
  <c r="H1231" i="13" s="1"/>
  <c r="F1222" i="13"/>
  <c r="J1222" i="13" s="1"/>
  <c r="K1222" i="13" s="1"/>
  <c r="B1222" i="13"/>
  <c r="I1222" i="13" s="1"/>
  <c r="K1221" i="13"/>
  <c r="J1221" i="13"/>
  <c r="F1221" i="13"/>
  <c r="C1221" i="13" a="1"/>
  <c r="C1221" i="13" s="1"/>
  <c r="B1221" i="13"/>
  <c r="I1221" i="13" s="1"/>
  <c r="J1220" i="13"/>
  <c r="K1220" i="13" s="1"/>
  <c r="I1220" i="13"/>
  <c r="F1220" i="13"/>
  <c r="C1220" i="13"/>
  <c r="B1220" i="13"/>
  <c r="J1219" i="13" a="1"/>
  <c r="J1219" i="13" s="1"/>
  <c r="K1219" i="13" s="1"/>
  <c r="I1219" i="13"/>
  <c r="I1219" i="13" a="1"/>
  <c r="F1219" i="13" a="1"/>
  <c r="F1219" i="13" s="1"/>
  <c r="C1219" i="13" a="1"/>
  <c r="C1219" i="13" s="1"/>
  <c r="B1219" i="13"/>
  <c r="B1219" i="13" a="1"/>
  <c r="J1218" i="13"/>
  <c r="K1218" i="13" s="1"/>
  <c r="J1218" i="13" a="1"/>
  <c r="I1218" i="13"/>
  <c r="I1218" i="13" a="1"/>
  <c r="F1218" i="13" a="1"/>
  <c r="F1218" i="13" s="1"/>
  <c r="C1218" i="13" a="1"/>
  <c r="C1218" i="13" s="1"/>
  <c r="B1218" i="13" a="1"/>
  <c r="B1218" i="13" s="1"/>
  <c r="K1217" i="13"/>
  <c r="I1217" i="13"/>
  <c r="F1217" i="13"/>
  <c r="J1217" i="13" s="1"/>
  <c r="C1217" i="13"/>
  <c r="C1217" i="13" a="1"/>
  <c r="B1217" i="13"/>
  <c r="J1216" i="13"/>
  <c r="K1216" i="13" s="1"/>
  <c r="F1216" i="13"/>
  <c r="C1216" i="13"/>
  <c r="C1216" i="13" a="1"/>
  <c r="B1216" i="13"/>
  <c r="I1216" i="13" s="1"/>
  <c r="B1216" i="13" a="1"/>
  <c r="C1215" i="13"/>
  <c r="J1214" i="13"/>
  <c r="K1214" i="13" s="1"/>
  <c r="F1214" i="13"/>
  <c r="C1214" i="13"/>
  <c r="C1213" i="13"/>
  <c r="J1212" i="13"/>
  <c r="K1212" i="13" s="1"/>
  <c r="F1212" i="13"/>
  <c r="C1212" i="13"/>
  <c r="C1212" i="13" a="1"/>
  <c r="K1211" i="13"/>
  <c r="J1211" i="13"/>
  <c r="J1213" i="13" s="1"/>
  <c r="K1213" i="13" s="1"/>
  <c r="C1211" i="13"/>
  <c r="C1211" i="13" a="1"/>
  <c r="F1210" i="13"/>
  <c r="J1210" i="13" s="1"/>
  <c r="K1210" i="13" s="1"/>
  <c r="C1210" i="13"/>
  <c r="C1210" i="13" a="1"/>
  <c r="I1209" i="13" a="1"/>
  <c r="I1209" i="13" s="1"/>
  <c r="F1209" i="13"/>
  <c r="J1209" i="13" s="1"/>
  <c r="K1209" i="13" s="1"/>
  <c r="F1209" i="13" a="1"/>
  <c r="C1209" i="13"/>
  <c r="C1209" i="13" a="1"/>
  <c r="B1209" i="13"/>
  <c r="B1209" i="13" a="1"/>
  <c r="F1208" i="13"/>
  <c r="J1208" i="13" s="1"/>
  <c r="K1208" i="13" s="1"/>
  <c r="C1208" i="13"/>
  <c r="J1207" i="13"/>
  <c r="K1207" i="13" s="1"/>
  <c r="F1207" i="13"/>
  <c r="C1207" i="13"/>
  <c r="C1207" i="13" a="1"/>
  <c r="B1207" i="13"/>
  <c r="J1206" i="13"/>
  <c r="K1206" i="13" s="1"/>
  <c r="F1206" i="13"/>
  <c r="C1206" i="13"/>
  <c r="C1206" i="13" a="1"/>
  <c r="K1205" i="13"/>
  <c r="F1205" i="13"/>
  <c r="J1205" i="13" s="1"/>
  <c r="C1205" i="13"/>
  <c r="J1204" i="13"/>
  <c r="K1204" i="13" s="1"/>
  <c r="F1204" i="13"/>
  <c r="C1204" i="13"/>
  <c r="C1204" i="13" a="1"/>
  <c r="J1203" i="13"/>
  <c r="K1203" i="13" s="1"/>
  <c r="F1203" i="13"/>
  <c r="C1203" i="13" a="1"/>
  <c r="C1203" i="13" s="1"/>
  <c r="F1202" i="13"/>
  <c r="J1202" i="13" s="1"/>
  <c r="K1202" i="13" s="1"/>
  <c r="C1202" i="13"/>
  <c r="C1202" i="13" a="1"/>
  <c r="B1202" i="13"/>
  <c r="F1200" i="13"/>
  <c r="C1200" i="13"/>
  <c r="B1198" i="13"/>
  <c r="D1196" i="13" a="1"/>
  <c r="D1196" i="13" s="1"/>
  <c r="E1195" i="13" s="1"/>
  <c r="D1194" i="13"/>
  <c r="J1224" i="13" s="1"/>
  <c r="K1224" i="13" s="1"/>
  <c r="D1192" i="13"/>
  <c r="D1191" i="13" a="1"/>
  <c r="D1191" i="13" s="1"/>
  <c r="D1190" i="13"/>
  <c r="K1189" i="13"/>
  <c r="J1189" i="13"/>
  <c r="G1189" i="13" a="1"/>
  <c r="G1189" i="13" s="1"/>
  <c r="F1189" i="13" a="1"/>
  <c r="F1189" i="13" s="1"/>
  <c r="K1188" i="13"/>
  <c r="I1188" i="13"/>
  <c r="H1188" i="13" a="1"/>
  <c r="H1188" i="13" s="1"/>
  <c r="K1187" i="13"/>
  <c r="I1187" i="13"/>
  <c r="H1187" i="13" a="1"/>
  <c r="H1187" i="13" s="1"/>
  <c r="B1187" i="13"/>
  <c r="B1187" i="13" a="1"/>
  <c r="K1186" i="13"/>
  <c r="I1186" i="13"/>
  <c r="H1186" i="13" a="1"/>
  <c r="H1186" i="13" s="1"/>
  <c r="K1185" i="13"/>
  <c r="I1185" i="13"/>
  <c r="H1185" i="13"/>
  <c r="H1185" i="13" a="1"/>
  <c r="B1185" i="13"/>
  <c r="K1184" i="13"/>
  <c r="I1184" i="13"/>
  <c r="H1184" i="13"/>
  <c r="H1184" i="13" a="1"/>
  <c r="K1183" i="13"/>
  <c r="I1183" i="13"/>
  <c r="H1183" i="13"/>
  <c r="H1183" i="13" a="1"/>
  <c r="K1182" i="13"/>
  <c r="I1182" i="13"/>
  <c r="H1182" i="13"/>
  <c r="H1189" i="13" s="1" a="1"/>
  <c r="H1189" i="13" s="1"/>
  <c r="H1182" i="13" a="1"/>
  <c r="K1181" i="13"/>
  <c r="K1190" i="13" s="1"/>
  <c r="I1181" i="13"/>
  <c r="H1181" i="13"/>
  <c r="H1181" i="13" a="1"/>
  <c r="K1180" i="13"/>
  <c r="I1180" i="13"/>
  <c r="H1180" i="13"/>
  <c r="H1180" i="13" a="1"/>
  <c r="B1171" i="13"/>
  <c r="I1171" i="13" s="1"/>
  <c r="J1170" i="13"/>
  <c r="K1170" i="13" s="1"/>
  <c r="C1170" i="13" a="1"/>
  <c r="C1170" i="13" s="1"/>
  <c r="B1170" i="13"/>
  <c r="F1170" i="13" s="1"/>
  <c r="K1169" i="13"/>
  <c r="J1169" i="13"/>
  <c r="I1169" i="13"/>
  <c r="F1169" i="13"/>
  <c r="C1169" i="13"/>
  <c r="B1169" i="13"/>
  <c r="J1168" i="13" a="1"/>
  <c r="J1168" i="13" s="1"/>
  <c r="K1168" i="13" s="1"/>
  <c r="I1168" i="13" a="1"/>
  <c r="I1168" i="13" s="1"/>
  <c r="F1168" i="13"/>
  <c r="F1168" i="13" a="1"/>
  <c r="C1168" i="13" a="1"/>
  <c r="C1168" i="13" s="1"/>
  <c r="B1168" i="13" a="1"/>
  <c r="B1168" i="13" s="1"/>
  <c r="J1167" i="13"/>
  <c r="K1167" i="13" s="1"/>
  <c r="J1167" i="13" a="1"/>
  <c r="I1167" i="13"/>
  <c r="I1167" i="13" a="1"/>
  <c r="F1167" i="13" a="1"/>
  <c r="F1167" i="13" s="1"/>
  <c r="C1167" i="13"/>
  <c r="C1167" i="13" a="1"/>
  <c r="B1167" i="13"/>
  <c r="B1167" i="13" a="1"/>
  <c r="F1166" i="13"/>
  <c r="J1166" i="13" s="1"/>
  <c r="K1166" i="13" s="1"/>
  <c r="C1166" i="13"/>
  <c r="C1166" i="13" a="1"/>
  <c r="B1166" i="13"/>
  <c r="I1166" i="13" s="1"/>
  <c r="K1165" i="13"/>
  <c r="J1165" i="13"/>
  <c r="F1165" i="13"/>
  <c r="C1165" i="13" a="1"/>
  <c r="C1165" i="13" s="1"/>
  <c r="B1165" i="13" a="1"/>
  <c r="B1165" i="13" s="1"/>
  <c r="I1165" i="13" s="1"/>
  <c r="C1164" i="13"/>
  <c r="F1163" i="13"/>
  <c r="C1163" i="13"/>
  <c r="C1162" i="13"/>
  <c r="F1161" i="13"/>
  <c r="J1161" i="13" s="1"/>
  <c r="K1161" i="13" s="1"/>
  <c r="C1161" i="13"/>
  <c r="C1161" i="13" a="1"/>
  <c r="K1160" i="13"/>
  <c r="J1160" i="13"/>
  <c r="J1162" i="13" s="1"/>
  <c r="K1162" i="13" s="1"/>
  <c r="C1160" i="13"/>
  <c r="C1160" i="13" a="1"/>
  <c r="F1159" i="13"/>
  <c r="J1159" i="13" s="1"/>
  <c r="K1159" i="13" s="1"/>
  <c r="C1159" i="13" a="1"/>
  <c r="C1159" i="13" s="1"/>
  <c r="I1158" i="13" a="1"/>
  <c r="I1158" i="13" s="1"/>
  <c r="F1158" i="13" a="1"/>
  <c r="F1158" i="13" s="1"/>
  <c r="J1158" i="13" s="1"/>
  <c r="K1158" i="13" s="1"/>
  <c r="C1158" i="13" a="1"/>
  <c r="C1158" i="13" s="1"/>
  <c r="B1158" i="13"/>
  <c r="B1158" i="13" a="1"/>
  <c r="F1157" i="13"/>
  <c r="J1157" i="13" s="1"/>
  <c r="K1157" i="13" s="1"/>
  <c r="C1157" i="13"/>
  <c r="J1156" i="13"/>
  <c r="K1156" i="13" s="1"/>
  <c r="F1156" i="13"/>
  <c r="C1156" i="13"/>
  <c r="C1156" i="13" a="1"/>
  <c r="B1156" i="13"/>
  <c r="J1155" i="13"/>
  <c r="K1155" i="13" s="1"/>
  <c r="F1155" i="13"/>
  <c r="C1155" i="13"/>
  <c r="C1155" i="13" a="1"/>
  <c r="K1154" i="13"/>
  <c r="J1154" i="13"/>
  <c r="F1154" i="13"/>
  <c r="C1154" i="13"/>
  <c r="F1153" i="13"/>
  <c r="J1153" i="13" s="1"/>
  <c r="K1153" i="13" s="1"/>
  <c r="C1153" i="13"/>
  <c r="C1153" i="13" a="1"/>
  <c r="F1152" i="13"/>
  <c r="J1152" i="13" s="1"/>
  <c r="K1152" i="13" s="1"/>
  <c r="C1152" i="13"/>
  <c r="C1152" i="13" a="1"/>
  <c r="K1151" i="13"/>
  <c r="J1151" i="13"/>
  <c r="F1151" i="13"/>
  <c r="C1151" i="13" a="1"/>
  <c r="C1151" i="13" s="1"/>
  <c r="B1151" i="13"/>
  <c r="F1149" i="13"/>
  <c r="C1149" i="13"/>
  <c r="B1147" i="13"/>
  <c r="D1145" i="13" a="1"/>
  <c r="D1145" i="13" s="1"/>
  <c r="E1144" i="13" s="1"/>
  <c r="D1143" i="13"/>
  <c r="D1141" i="13"/>
  <c r="D1140" i="13" a="1"/>
  <c r="D1140" i="13" s="1"/>
  <c r="D1139" i="13"/>
  <c r="J1163" i="13" s="1"/>
  <c r="K1163" i="13" s="1"/>
  <c r="G1138" i="13" a="1"/>
  <c r="G1138" i="13" s="1"/>
  <c r="F1138" i="13"/>
  <c r="I1138" i="13" s="1"/>
  <c r="F1138" i="13" a="1"/>
  <c r="K1137" i="13"/>
  <c r="I1137" i="13"/>
  <c r="H1137" i="13" a="1"/>
  <c r="H1137" i="13" s="1"/>
  <c r="K1136" i="13"/>
  <c r="I1136" i="13"/>
  <c r="H1136" i="13"/>
  <c r="H1136" i="13" a="1"/>
  <c r="B1136" i="13" a="1"/>
  <c r="B1136" i="13" s="1"/>
  <c r="K1135" i="13"/>
  <c r="I1135" i="13"/>
  <c r="H1135" i="13" a="1"/>
  <c r="H1135" i="13" s="1"/>
  <c r="K1134" i="13"/>
  <c r="I1134" i="13"/>
  <c r="H1134" i="13" a="1"/>
  <c r="H1134" i="13" s="1"/>
  <c r="B1134" i="13"/>
  <c r="K1133" i="13"/>
  <c r="I1133" i="13"/>
  <c r="H1133" i="13"/>
  <c r="H1133" i="13" a="1"/>
  <c r="K1132" i="13"/>
  <c r="I1132" i="13"/>
  <c r="H1132" i="13" a="1"/>
  <c r="H1132" i="13" s="1"/>
  <c r="K1131" i="13"/>
  <c r="I1131" i="13"/>
  <c r="H1131" i="13"/>
  <c r="H1138" i="13" s="1" a="1"/>
  <c r="H1138" i="13" s="1"/>
  <c r="H1131" i="13" a="1"/>
  <c r="K1130" i="13"/>
  <c r="I1130" i="13"/>
  <c r="H1130" i="13" a="1"/>
  <c r="H1130" i="13" s="1"/>
  <c r="K1129" i="13"/>
  <c r="I1129" i="13"/>
  <c r="H1129" i="13"/>
  <c r="H1129" i="13" a="1"/>
  <c r="B1120" i="13"/>
  <c r="C1119" i="13" a="1"/>
  <c r="C1119" i="13" s="1"/>
  <c r="B1119" i="13"/>
  <c r="J1119" i="13" s="1"/>
  <c r="K1119" i="13" s="1"/>
  <c r="K1118" i="13"/>
  <c r="J1118" i="13"/>
  <c r="B1118" i="13"/>
  <c r="I1118" i="13" s="1"/>
  <c r="J1117" i="13" a="1"/>
  <c r="J1117" i="13" s="1"/>
  <c r="K1117" i="13" s="1"/>
  <c r="I1117" i="13"/>
  <c r="I1117" i="13" a="1"/>
  <c r="F1117" i="13" a="1"/>
  <c r="F1117" i="13" s="1"/>
  <c r="C1117" i="13" a="1"/>
  <c r="C1117" i="13" s="1"/>
  <c r="B1117" i="13" a="1"/>
  <c r="B1117" i="13" s="1"/>
  <c r="K1116" i="13"/>
  <c r="J1116" i="13"/>
  <c r="J1116" i="13" a="1"/>
  <c r="I1116" i="13" a="1"/>
  <c r="I1116" i="13" s="1"/>
  <c r="F1116" i="13"/>
  <c r="F1116" i="13" a="1"/>
  <c r="C1116" i="13"/>
  <c r="C1116" i="13" a="1"/>
  <c r="B1116" i="13"/>
  <c r="B1116" i="13" a="1"/>
  <c r="I1115" i="13"/>
  <c r="F1115" i="13"/>
  <c r="J1115" i="13" s="1"/>
  <c r="K1115" i="13" s="1"/>
  <c r="C1115" i="13"/>
  <c r="C1115" i="13" a="1"/>
  <c r="B1115" i="13"/>
  <c r="F1114" i="13"/>
  <c r="J1114" i="13" s="1"/>
  <c r="K1114" i="13" s="1"/>
  <c r="C1114" i="13" a="1"/>
  <c r="C1114" i="13" s="1"/>
  <c r="B1114" i="13"/>
  <c r="I1114" i="13" s="1"/>
  <c r="B1114" i="13" a="1"/>
  <c r="C1113" i="13"/>
  <c r="F1112" i="13"/>
  <c r="C1112" i="13"/>
  <c r="C1111" i="13"/>
  <c r="J1110" i="13"/>
  <c r="K1110" i="13" s="1"/>
  <c r="F1110" i="13"/>
  <c r="C1110" i="13"/>
  <c r="C1110" i="13" a="1"/>
  <c r="K1109" i="13"/>
  <c r="J1109" i="13"/>
  <c r="J1111" i="13" s="1"/>
  <c r="K1111" i="13" s="1"/>
  <c r="C1109" i="13" a="1"/>
  <c r="C1109" i="13" s="1"/>
  <c r="F1108" i="13"/>
  <c r="J1108" i="13" s="1"/>
  <c r="K1108" i="13" s="1"/>
  <c r="C1108" i="13"/>
  <c r="C1108" i="13" a="1"/>
  <c r="I1107" i="13" a="1"/>
  <c r="I1107" i="13" s="1"/>
  <c r="F1107" i="13" a="1"/>
  <c r="F1107" i="13" s="1"/>
  <c r="J1107" i="13" s="1"/>
  <c r="K1107" i="13" s="1"/>
  <c r="C1107" i="13"/>
  <c r="C1107" i="13" a="1"/>
  <c r="B1107" i="13" a="1"/>
  <c r="B1107" i="13" s="1"/>
  <c r="J1106" i="13"/>
  <c r="K1106" i="13" s="1"/>
  <c r="F1106" i="13"/>
  <c r="C1106" i="13"/>
  <c r="K1105" i="13"/>
  <c r="J1105" i="13"/>
  <c r="F1105" i="13"/>
  <c r="C1105" i="13" a="1"/>
  <c r="C1105" i="13" s="1"/>
  <c r="B1105" i="13"/>
  <c r="J1104" i="13"/>
  <c r="K1104" i="13" s="1"/>
  <c r="F1104" i="13"/>
  <c r="C1104" i="13"/>
  <c r="C1104" i="13" a="1"/>
  <c r="F1103" i="13"/>
  <c r="J1103" i="13" s="1"/>
  <c r="K1103" i="13" s="1"/>
  <c r="C1103" i="13"/>
  <c r="K1102" i="13"/>
  <c r="J1102" i="13"/>
  <c r="F1102" i="13"/>
  <c r="C1102" i="13" a="1"/>
  <c r="C1102" i="13" s="1"/>
  <c r="J1101" i="13"/>
  <c r="K1101" i="13" s="1"/>
  <c r="F1101" i="13"/>
  <c r="C1101" i="13"/>
  <c r="C1101" i="13" a="1"/>
  <c r="F1100" i="13"/>
  <c r="J1100" i="13" s="1"/>
  <c r="K1100" i="13" s="1"/>
  <c r="C1100" i="13" a="1"/>
  <c r="C1100" i="13" s="1"/>
  <c r="B1100" i="13"/>
  <c r="F1098" i="13"/>
  <c r="C1098" i="13"/>
  <c r="B1096" i="13"/>
  <c r="D1094" i="13" a="1"/>
  <c r="D1094" i="13" s="1"/>
  <c r="E1093" i="13" s="1"/>
  <c r="D1092" i="13"/>
  <c r="J1122" i="13" s="1"/>
  <c r="K1122" i="13" s="1"/>
  <c r="D1090" i="13"/>
  <c r="D1089" i="13" a="1"/>
  <c r="D1089" i="13" s="1"/>
  <c r="J1112" i="13" s="1"/>
  <c r="K1112" i="13" s="1"/>
  <c r="D1088" i="13"/>
  <c r="J1087" i="13"/>
  <c r="K1087" i="13" s="1"/>
  <c r="H1087" i="13" a="1"/>
  <c r="H1087" i="13" s="1"/>
  <c r="G1087" i="13"/>
  <c r="G1087" i="13" a="1"/>
  <c r="F1087" i="13" a="1"/>
  <c r="F1087" i="13" s="1"/>
  <c r="K1086" i="13"/>
  <c r="I1086" i="13"/>
  <c r="H1086" i="13" a="1"/>
  <c r="H1086" i="13" s="1"/>
  <c r="K1085" i="13"/>
  <c r="I1085" i="13"/>
  <c r="H1085" i="13" a="1"/>
  <c r="H1085" i="13" s="1"/>
  <c r="B1085" i="13" a="1"/>
  <c r="B1085" i="13" s="1"/>
  <c r="K1084" i="13"/>
  <c r="I1084" i="13"/>
  <c r="H1084" i="13"/>
  <c r="H1084" i="13" a="1"/>
  <c r="K1083" i="13"/>
  <c r="I1083" i="13"/>
  <c r="H1083" i="13" a="1"/>
  <c r="H1083" i="13" s="1"/>
  <c r="B1083" i="13"/>
  <c r="K1082" i="13"/>
  <c r="I1082" i="13"/>
  <c r="H1082" i="13"/>
  <c r="H1082" i="13" a="1"/>
  <c r="K1081" i="13"/>
  <c r="I1081" i="13"/>
  <c r="H1081" i="13"/>
  <c r="H1081" i="13" a="1"/>
  <c r="K1080" i="13"/>
  <c r="K1088" i="13" s="1"/>
  <c r="I1080" i="13"/>
  <c r="H1080" i="13"/>
  <c r="H1080" i="13" a="1"/>
  <c r="K1079" i="13"/>
  <c r="I1079" i="13"/>
  <c r="H1079" i="13"/>
  <c r="H1079" i="13" a="1"/>
  <c r="K1078" i="13"/>
  <c r="I1078" i="13"/>
  <c r="H1078" i="13"/>
  <c r="H1078" i="13" a="1"/>
  <c r="I1069" i="13"/>
  <c r="F1069" i="13"/>
  <c r="J1069" i="13" s="1"/>
  <c r="K1069" i="13" s="1"/>
  <c r="B1069" i="13"/>
  <c r="F1068" i="13"/>
  <c r="C1068" i="13" a="1"/>
  <c r="C1068" i="13" s="1"/>
  <c r="B1068" i="13"/>
  <c r="J1068" i="13" s="1"/>
  <c r="K1068" i="13" s="1"/>
  <c r="C1067" i="13"/>
  <c r="B1067" i="13"/>
  <c r="J1067" i="13" s="1"/>
  <c r="K1067" i="13" s="1"/>
  <c r="K1066" i="13"/>
  <c r="J1066" i="13"/>
  <c r="J1066" i="13" a="1"/>
  <c r="I1066" i="13" a="1"/>
  <c r="I1066" i="13" s="1"/>
  <c r="F1066" i="13" a="1"/>
  <c r="F1066" i="13" s="1"/>
  <c r="C1066" i="13" a="1"/>
  <c r="C1066" i="13" s="1"/>
  <c r="B1066" i="13"/>
  <c r="B1066" i="13" a="1"/>
  <c r="J1065" i="13" a="1"/>
  <c r="J1065" i="13" s="1"/>
  <c r="K1065" i="13" s="1"/>
  <c r="I1065" i="13"/>
  <c r="I1065" i="13" a="1"/>
  <c r="F1065" i="13"/>
  <c r="F1065" i="13" a="1"/>
  <c r="C1065" i="13"/>
  <c r="C1065" i="13" a="1"/>
  <c r="B1065" i="13" a="1"/>
  <c r="B1065" i="13" s="1"/>
  <c r="I1064" i="13"/>
  <c r="F1064" i="13"/>
  <c r="J1064" i="13" s="1"/>
  <c r="K1064" i="13" s="1"/>
  <c r="C1064" i="13"/>
  <c r="C1064" i="13" a="1"/>
  <c r="B1064" i="13"/>
  <c r="F1063" i="13"/>
  <c r="J1063" i="13" s="1"/>
  <c r="K1063" i="13" s="1"/>
  <c r="C1063" i="13"/>
  <c r="C1063" i="13" a="1"/>
  <c r="B1063" i="13" a="1"/>
  <c r="B1063" i="13" s="1"/>
  <c r="I1063" i="13" s="1"/>
  <c r="C1062" i="13"/>
  <c r="F1061" i="13"/>
  <c r="C1061" i="13"/>
  <c r="C1060" i="13"/>
  <c r="J1059" i="13"/>
  <c r="K1059" i="13" s="1"/>
  <c r="F1059" i="13"/>
  <c r="C1059" i="13"/>
  <c r="C1059" i="13" a="1"/>
  <c r="J1058" i="13"/>
  <c r="K1058" i="13" s="1"/>
  <c r="C1058" i="13"/>
  <c r="C1058" i="13" a="1"/>
  <c r="F1057" i="13"/>
  <c r="J1057" i="13" s="1"/>
  <c r="K1057" i="13" s="1"/>
  <c r="C1057" i="13"/>
  <c r="C1057" i="13" a="1"/>
  <c r="I1056" i="13" a="1"/>
  <c r="I1056" i="13" s="1"/>
  <c r="F1056" i="13" a="1"/>
  <c r="F1056" i="13" s="1"/>
  <c r="J1056" i="13" s="1"/>
  <c r="K1056" i="13" s="1"/>
  <c r="C1056" i="13" a="1"/>
  <c r="C1056" i="13" s="1"/>
  <c r="B1056" i="13" a="1"/>
  <c r="B1056" i="13" s="1"/>
  <c r="J1055" i="13"/>
  <c r="K1055" i="13" s="1"/>
  <c r="F1055" i="13"/>
  <c r="C1055" i="13"/>
  <c r="F1054" i="13"/>
  <c r="J1054" i="13" s="1"/>
  <c r="K1054" i="13" s="1"/>
  <c r="C1054" i="13"/>
  <c r="C1054" i="13" a="1"/>
  <c r="B1054" i="13"/>
  <c r="J1053" i="13"/>
  <c r="K1053" i="13" s="1"/>
  <c r="F1053" i="13"/>
  <c r="C1053" i="13" a="1"/>
  <c r="C1053" i="13" s="1"/>
  <c r="F1052" i="13"/>
  <c r="J1052" i="13" s="1"/>
  <c r="K1052" i="13" s="1"/>
  <c r="C1052" i="13"/>
  <c r="F1051" i="13"/>
  <c r="J1051" i="13" s="1"/>
  <c r="K1051" i="13" s="1"/>
  <c r="C1051" i="13" a="1"/>
  <c r="C1051" i="13" s="1"/>
  <c r="J1050" i="13"/>
  <c r="K1050" i="13" s="1"/>
  <c r="F1050" i="13"/>
  <c r="C1050" i="13"/>
  <c r="C1050" i="13" a="1"/>
  <c r="F1049" i="13"/>
  <c r="J1049" i="13" s="1"/>
  <c r="K1049" i="13" s="1"/>
  <c r="C1049" i="13" a="1"/>
  <c r="C1049" i="13" s="1"/>
  <c r="B1049" i="13"/>
  <c r="F1047" i="13"/>
  <c r="C1047" i="13"/>
  <c r="B1045" i="13"/>
  <c r="D1043" i="13" a="1"/>
  <c r="D1043" i="13" s="1"/>
  <c r="E1042" i="13" s="1"/>
  <c r="D1041" i="13"/>
  <c r="J1071" i="13" s="1"/>
  <c r="K1071" i="13" s="1"/>
  <c r="D1039" i="13"/>
  <c r="D1038" i="13" a="1"/>
  <c r="D1038" i="13" s="1"/>
  <c r="J1061" i="13" s="1"/>
  <c r="K1061" i="13" s="1"/>
  <c r="D1037" i="13"/>
  <c r="K1036" i="13"/>
  <c r="J1036" i="13"/>
  <c r="G1036" i="13" a="1"/>
  <c r="G1036" i="13" s="1"/>
  <c r="F1036" i="13" a="1"/>
  <c r="F1036" i="13" s="1"/>
  <c r="J1037" i="13" s="1"/>
  <c r="J1038" i="13" s="1"/>
  <c r="K1038" i="13" s="1"/>
  <c r="K1035" i="13"/>
  <c r="I1035" i="13"/>
  <c r="H1035" i="13" a="1"/>
  <c r="H1035" i="13" s="1"/>
  <c r="K1034" i="13"/>
  <c r="I1034" i="13"/>
  <c r="H1034" i="13" a="1"/>
  <c r="H1034" i="13" s="1"/>
  <c r="B1034" i="13" a="1"/>
  <c r="B1034" i="13" s="1"/>
  <c r="K1033" i="13"/>
  <c r="I1033" i="13"/>
  <c r="H1033" i="13" a="1"/>
  <c r="H1033" i="13" s="1"/>
  <c r="K1032" i="13"/>
  <c r="I1032" i="13"/>
  <c r="H1032" i="13" a="1"/>
  <c r="H1032" i="13" s="1"/>
  <c r="B1032" i="13"/>
  <c r="K1031" i="13"/>
  <c r="I1031" i="13"/>
  <c r="H1031" i="13" a="1"/>
  <c r="H1031" i="13" s="1"/>
  <c r="K1030" i="13"/>
  <c r="I1030" i="13"/>
  <c r="H1030" i="13"/>
  <c r="H1030" i="13" a="1"/>
  <c r="K1029" i="13"/>
  <c r="I1029" i="13"/>
  <c r="H1029" i="13" a="1"/>
  <c r="H1029" i="13" s="1"/>
  <c r="H1036" i="13" s="1" a="1"/>
  <c r="H1036" i="13" s="1"/>
  <c r="K1028" i="13"/>
  <c r="K1037" i="13" s="1"/>
  <c r="I1028" i="13"/>
  <c r="H1028" i="13"/>
  <c r="H1028" i="13" a="1"/>
  <c r="K1027" i="13"/>
  <c r="I1027" i="13"/>
  <c r="H1027" i="13" a="1"/>
  <c r="H1027" i="13" s="1"/>
  <c r="K1018" i="13"/>
  <c r="I1018" i="13"/>
  <c r="B1018" i="13"/>
  <c r="F1018" i="13" s="1"/>
  <c r="J1018" i="13" s="1"/>
  <c r="J1017" i="13"/>
  <c r="K1017" i="13" s="1"/>
  <c r="I1017" i="13"/>
  <c r="F1017" i="13"/>
  <c r="C1017" i="13" a="1"/>
  <c r="C1017" i="13" s="1"/>
  <c r="B1017" i="13"/>
  <c r="I1016" i="13"/>
  <c r="C1016" i="13"/>
  <c r="B1016" i="13"/>
  <c r="J1016" i="13" s="1"/>
  <c r="K1016" i="13" s="1"/>
  <c r="J1015" i="13" a="1"/>
  <c r="J1015" i="13" s="1"/>
  <c r="K1015" i="13" s="1"/>
  <c r="I1015" i="13" a="1"/>
  <c r="I1015" i="13" s="1"/>
  <c r="F1015" i="13" a="1"/>
  <c r="F1015" i="13" s="1"/>
  <c r="C1015" i="13" a="1"/>
  <c r="C1015" i="13" s="1"/>
  <c r="B1015" i="13" a="1"/>
  <c r="B1015" i="13" s="1"/>
  <c r="J1014" i="13"/>
  <c r="K1014" i="13" s="1"/>
  <c r="J1014" i="13" a="1"/>
  <c r="I1014" i="13"/>
  <c r="I1014" i="13" a="1"/>
  <c r="F1014" i="13"/>
  <c r="F1014" i="13" a="1"/>
  <c r="C1014" i="13" a="1"/>
  <c r="C1014" i="13" s="1"/>
  <c r="B1014" i="13"/>
  <c r="B1014" i="13" a="1"/>
  <c r="K1013" i="13"/>
  <c r="J1013" i="13"/>
  <c r="F1013" i="13"/>
  <c r="C1013" i="13" a="1"/>
  <c r="C1013" i="13" s="1"/>
  <c r="B1013" i="13"/>
  <c r="I1013" i="13" s="1"/>
  <c r="J1012" i="13"/>
  <c r="K1012" i="13" s="1"/>
  <c r="F1012" i="13"/>
  <c r="C1012" i="13" a="1"/>
  <c r="C1012" i="13" s="1"/>
  <c r="B1012" i="13" a="1"/>
  <c r="B1012" i="13" s="1"/>
  <c r="I1012" i="13" s="1"/>
  <c r="C1011" i="13"/>
  <c r="F1010" i="13"/>
  <c r="C1010" i="13"/>
  <c r="C1009" i="13"/>
  <c r="J1008" i="13"/>
  <c r="K1008" i="13" s="1"/>
  <c r="F1008" i="13"/>
  <c r="C1008" i="13"/>
  <c r="C1008" i="13" a="1"/>
  <c r="K1007" i="13"/>
  <c r="J1007" i="13"/>
  <c r="J1009" i="13" s="1"/>
  <c r="K1009" i="13" s="1"/>
  <c r="C1007" i="13"/>
  <c r="C1007" i="13" a="1"/>
  <c r="F1006" i="13"/>
  <c r="J1006" i="13" s="1"/>
  <c r="K1006" i="13" s="1"/>
  <c r="C1006" i="13" a="1"/>
  <c r="C1006" i="13" s="1"/>
  <c r="J1005" i="13"/>
  <c r="K1005" i="13" s="1"/>
  <c r="I1005" i="13" a="1"/>
  <c r="I1005" i="13" s="1"/>
  <c r="F1005" i="13" a="1"/>
  <c r="F1005" i="13" s="1"/>
  <c r="C1005" i="13" a="1"/>
  <c r="C1005" i="13" s="1"/>
  <c r="B1005" i="13" a="1"/>
  <c r="B1005" i="13" s="1"/>
  <c r="J1004" i="13"/>
  <c r="K1004" i="13" s="1"/>
  <c r="F1004" i="13"/>
  <c r="C1004" i="13"/>
  <c r="J1003" i="13"/>
  <c r="K1003" i="13" s="1"/>
  <c r="F1003" i="13"/>
  <c r="C1003" i="13"/>
  <c r="C1003" i="13" a="1"/>
  <c r="B1003" i="13"/>
  <c r="J1002" i="13"/>
  <c r="K1002" i="13" s="1"/>
  <c r="F1002" i="13"/>
  <c r="C1002" i="13"/>
  <c r="C1002" i="13" a="1"/>
  <c r="F1001" i="13"/>
  <c r="J1001" i="13" s="1"/>
  <c r="K1001" i="13" s="1"/>
  <c r="C1001" i="13"/>
  <c r="F1000" i="13"/>
  <c r="J1000" i="13" s="1"/>
  <c r="K1000" i="13" s="1"/>
  <c r="C1000" i="13" a="1"/>
  <c r="C1000" i="13" s="1"/>
  <c r="J999" i="13"/>
  <c r="K999" i="13" s="1"/>
  <c r="F999" i="13"/>
  <c r="C999" i="13"/>
  <c r="C999" i="13" a="1"/>
  <c r="F998" i="13"/>
  <c r="J998" i="13" s="1"/>
  <c r="K998" i="13" s="1"/>
  <c r="C998" i="13" a="1"/>
  <c r="C998" i="13" s="1"/>
  <c r="B998" i="13"/>
  <c r="F996" i="13"/>
  <c r="C996" i="13"/>
  <c r="B994" i="13"/>
  <c r="D992" i="13" a="1"/>
  <c r="D992" i="13" s="1"/>
  <c r="E991" i="13" s="1"/>
  <c r="D990" i="13"/>
  <c r="D988" i="13"/>
  <c r="D987" i="13" a="1"/>
  <c r="D987" i="13" s="1"/>
  <c r="D986" i="13"/>
  <c r="I985" i="13"/>
  <c r="G985" i="13" a="1"/>
  <c r="G985" i="13" s="1"/>
  <c r="F985" i="13" a="1"/>
  <c r="F985" i="13" s="1"/>
  <c r="K984" i="13"/>
  <c r="I984" i="13"/>
  <c r="H984" i="13" a="1"/>
  <c r="H984" i="13" s="1"/>
  <c r="K983" i="13"/>
  <c r="I983" i="13"/>
  <c r="H983" i="13" a="1"/>
  <c r="H983" i="13" s="1"/>
  <c r="B983" i="13" a="1"/>
  <c r="B983" i="13" s="1"/>
  <c r="K982" i="13"/>
  <c r="I982" i="13"/>
  <c r="H982" i="13" a="1"/>
  <c r="H982" i="13" s="1"/>
  <c r="K981" i="13"/>
  <c r="I981" i="13"/>
  <c r="H981" i="13" a="1"/>
  <c r="H981" i="13" s="1"/>
  <c r="B981" i="13"/>
  <c r="K980" i="13"/>
  <c r="I980" i="13"/>
  <c r="H980" i="13"/>
  <c r="H980" i="13" a="1"/>
  <c r="K979" i="13"/>
  <c r="I979" i="13"/>
  <c r="H979" i="13"/>
  <c r="H979" i="13" a="1"/>
  <c r="K978" i="13"/>
  <c r="I978" i="13"/>
  <c r="H978" i="13"/>
  <c r="H985" i="13" s="1" a="1"/>
  <c r="H985" i="13" s="1"/>
  <c r="H978" i="13" a="1"/>
  <c r="K977" i="13"/>
  <c r="I977" i="13"/>
  <c r="H977" i="13"/>
  <c r="H977" i="13" a="1"/>
  <c r="K976" i="13"/>
  <c r="I976" i="13"/>
  <c r="H976" i="13"/>
  <c r="H976" i="13" a="1"/>
  <c r="K967" i="13"/>
  <c r="B967" i="13"/>
  <c r="F967" i="13" s="1"/>
  <c r="J967" i="13" s="1"/>
  <c r="J966" i="13"/>
  <c r="K966" i="13" s="1"/>
  <c r="F966" i="13"/>
  <c r="C966" i="13" a="1"/>
  <c r="C966" i="13" s="1"/>
  <c r="B966" i="13"/>
  <c r="I966" i="13" s="1"/>
  <c r="K965" i="13"/>
  <c r="J965" i="13"/>
  <c r="I965" i="13"/>
  <c r="F965" i="13"/>
  <c r="C965" i="13"/>
  <c r="B965" i="13"/>
  <c r="K964" i="13"/>
  <c r="J964" i="13" a="1"/>
  <c r="J964" i="13" s="1"/>
  <c r="I964" i="13" a="1"/>
  <c r="I964" i="13" s="1"/>
  <c r="F964" i="13" a="1"/>
  <c r="F964" i="13" s="1"/>
  <c r="C964" i="13" a="1"/>
  <c r="C964" i="13" s="1"/>
  <c r="B964" i="13" a="1"/>
  <c r="B964" i="13" s="1"/>
  <c r="J963" i="13"/>
  <c r="K963" i="13" s="1"/>
  <c r="J963" i="13" a="1"/>
  <c r="I963" i="13"/>
  <c r="I963" i="13" a="1"/>
  <c r="F963" i="13"/>
  <c r="F963" i="13" a="1"/>
  <c r="C963" i="13"/>
  <c r="C963" i="13" a="1"/>
  <c r="B963" i="13"/>
  <c r="B963" i="13" a="1"/>
  <c r="K962" i="13"/>
  <c r="I962" i="13"/>
  <c r="F962" i="13"/>
  <c r="J962" i="13" s="1"/>
  <c r="C962" i="13"/>
  <c r="C962" i="13" a="1"/>
  <c r="B962" i="13"/>
  <c r="J961" i="13"/>
  <c r="K961" i="13" s="1"/>
  <c r="F961" i="13"/>
  <c r="C961" i="13"/>
  <c r="C961" i="13" a="1"/>
  <c r="B961" i="13" a="1"/>
  <c r="B961" i="13" s="1"/>
  <c r="I961" i="13" s="1"/>
  <c r="C960" i="13"/>
  <c r="F959" i="13"/>
  <c r="C959" i="13"/>
  <c r="C958" i="13"/>
  <c r="J957" i="13"/>
  <c r="K957" i="13" s="1"/>
  <c r="F957" i="13"/>
  <c r="C957" i="13"/>
  <c r="C957" i="13" a="1"/>
  <c r="J956" i="13"/>
  <c r="J958" i="13" s="1"/>
  <c r="K958" i="13" s="1"/>
  <c r="C956" i="13"/>
  <c r="C956" i="13" a="1"/>
  <c r="F955" i="13"/>
  <c r="J955" i="13" s="1"/>
  <c r="K955" i="13" s="1"/>
  <c r="C955" i="13" a="1"/>
  <c r="C955" i="13" s="1"/>
  <c r="J954" i="13"/>
  <c r="K954" i="13" s="1"/>
  <c r="I954" i="13" a="1"/>
  <c r="I954" i="13" s="1"/>
  <c r="F954" i="13"/>
  <c r="F954" i="13" a="1"/>
  <c r="C954" i="13" a="1"/>
  <c r="C954" i="13" s="1"/>
  <c r="B954" i="13" a="1"/>
  <c r="B954" i="13" s="1"/>
  <c r="F953" i="13"/>
  <c r="J953" i="13" s="1"/>
  <c r="K953" i="13" s="1"/>
  <c r="C953" i="13"/>
  <c r="J952" i="13"/>
  <c r="K952" i="13" s="1"/>
  <c r="F952" i="13"/>
  <c r="C952" i="13"/>
  <c r="C952" i="13" a="1"/>
  <c r="B952" i="13"/>
  <c r="J951" i="13"/>
  <c r="K951" i="13" s="1"/>
  <c r="F951" i="13"/>
  <c r="C951" i="13"/>
  <c r="C951" i="13" a="1"/>
  <c r="F950" i="13"/>
  <c r="J950" i="13" s="1"/>
  <c r="K950" i="13" s="1"/>
  <c r="C950" i="13"/>
  <c r="F949" i="13"/>
  <c r="J949" i="13" s="1"/>
  <c r="K949" i="13" s="1"/>
  <c r="C949" i="13" a="1"/>
  <c r="C949" i="13" s="1"/>
  <c r="J948" i="13"/>
  <c r="K948" i="13" s="1"/>
  <c r="F948" i="13"/>
  <c r="C948" i="13"/>
  <c r="C948" i="13" a="1"/>
  <c r="J947" i="13"/>
  <c r="K947" i="13" s="1"/>
  <c r="F947" i="13"/>
  <c r="C947" i="13" a="1"/>
  <c r="C947" i="13" s="1"/>
  <c r="B947" i="13"/>
  <c r="F945" i="13"/>
  <c r="C945" i="13"/>
  <c r="B943" i="13"/>
  <c r="D941" i="13"/>
  <c r="E940" i="13" s="1"/>
  <c r="D941" i="13" a="1"/>
  <c r="D939" i="13"/>
  <c r="D937" i="13"/>
  <c r="D936" i="13"/>
  <c r="D936" i="13" a="1"/>
  <c r="D935" i="13"/>
  <c r="D938" i="13" s="1"/>
  <c r="G934" i="13"/>
  <c r="G934" i="13" a="1"/>
  <c r="F934" i="13" a="1"/>
  <c r="F934" i="13" s="1"/>
  <c r="K933" i="13"/>
  <c r="I933" i="13"/>
  <c r="H933" i="13" a="1"/>
  <c r="H933" i="13" s="1"/>
  <c r="K932" i="13"/>
  <c r="I932" i="13"/>
  <c r="H932" i="13" a="1"/>
  <c r="H932" i="13" s="1"/>
  <c r="B932" i="13" a="1"/>
  <c r="B932" i="13" s="1"/>
  <c r="K931" i="13"/>
  <c r="I931" i="13"/>
  <c r="H931" i="13"/>
  <c r="H931" i="13" a="1"/>
  <c r="K930" i="13"/>
  <c r="I930" i="13"/>
  <c r="H930" i="13" a="1"/>
  <c r="H930" i="13" s="1"/>
  <c r="B930" i="13"/>
  <c r="K929" i="13"/>
  <c r="I929" i="13"/>
  <c r="H929" i="13"/>
  <c r="H929" i="13" a="1"/>
  <c r="K928" i="13"/>
  <c r="I928" i="13"/>
  <c r="H928" i="13"/>
  <c r="H928" i="13" a="1"/>
  <c r="K927" i="13"/>
  <c r="I927" i="13"/>
  <c r="H927" i="13"/>
  <c r="H934" i="13" s="1" a="1"/>
  <c r="H934" i="13" s="1"/>
  <c r="H927" i="13" a="1"/>
  <c r="K926" i="13"/>
  <c r="I926" i="13"/>
  <c r="H926" i="13"/>
  <c r="H926" i="13" a="1"/>
  <c r="K925" i="13"/>
  <c r="I925" i="13"/>
  <c r="H925" i="13"/>
  <c r="H925" i="13" a="1"/>
  <c r="F916" i="13"/>
  <c r="J916" i="13" s="1"/>
  <c r="K916" i="13" s="1"/>
  <c r="B916" i="13"/>
  <c r="I916" i="13" s="1"/>
  <c r="B915" i="13"/>
  <c r="J915" i="13" s="1"/>
  <c r="K915" i="13" s="1"/>
  <c r="J914" i="13"/>
  <c r="K914" i="13" s="1"/>
  <c r="I914" i="13"/>
  <c r="B914" i="13"/>
  <c r="C915" i="13" s="1" a="1"/>
  <c r="C915" i="13" s="1"/>
  <c r="J913" i="13"/>
  <c r="K913" i="13" s="1"/>
  <c r="J913" i="13" a="1"/>
  <c r="I913" i="13"/>
  <c r="I913" i="13" a="1"/>
  <c r="F913" i="13"/>
  <c r="F913" i="13" a="1"/>
  <c r="C913" i="13"/>
  <c r="C913" i="13" a="1"/>
  <c r="B913" i="13"/>
  <c r="B913" i="13" a="1"/>
  <c r="K912" i="13"/>
  <c r="J912" i="13"/>
  <c r="J912" i="13" a="1"/>
  <c r="I912" i="13" a="1"/>
  <c r="I912" i="13" s="1"/>
  <c r="F912" i="13" a="1"/>
  <c r="F912" i="13" s="1"/>
  <c r="C912" i="13" a="1"/>
  <c r="C912" i="13" s="1"/>
  <c r="B912" i="13"/>
  <c r="B912" i="13" a="1"/>
  <c r="F911" i="13"/>
  <c r="J911" i="13" s="1"/>
  <c r="K911" i="13" s="1"/>
  <c r="C911" i="13" a="1"/>
  <c r="C911" i="13" s="1"/>
  <c r="B911" i="13"/>
  <c r="I911" i="13" s="1"/>
  <c r="K910" i="13"/>
  <c r="J910" i="13"/>
  <c r="F910" i="13"/>
  <c r="C910" i="13" a="1"/>
  <c r="C910" i="13" s="1"/>
  <c r="B910" i="13"/>
  <c r="I910" i="13" s="1"/>
  <c r="B910" i="13" a="1"/>
  <c r="C909" i="13"/>
  <c r="F908" i="13"/>
  <c r="C908" i="13"/>
  <c r="C907" i="13"/>
  <c r="F906" i="13"/>
  <c r="J906" i="13" s="1"/>
  <c r="K906" i="13" s="1"/>
  <c r="C906" i="13"/>
  <c r="C906" i="13" a="1"/>
  <c r="K905" i="13"/>
  <c r="J905" i="13"/>
  <c r="J907" i="13" s="1"/>
  <c r="K907" i="13" s="1"/>
  <c r="C905" i="13" a="1"/>
  <c r="C905" i="13" s="1"/>
  <c r="F904" i="13"/>
  <c r="J904" i="13" s="1"/>
  <c r="K904" i="13" s="1"/>
  <c r="C904" i="13"/>
  <c r="C904" i="13" a="1"/>
  <c r="I903" i="13"/>
  <c r="I903" i="13" a="1"/>
  <c r="F903" i="13" a="1"/>
  <c r="F903" i="13" s="1"/>
  <c r="J903" i="13" s="1"/>
  <c r="K903" i="13" s="1"/>
  <c r="C903" i="13"/>
  <c r="C903" i="13" a="1"/>
  <c r="B903" i="13"/>
  <c r="B903" i="13" a="1"/>
  <c r="F902" i="13"/>
  <c r="J902" i="13" s="1"/>
  <c r="K902" i="13" s="1"/>
  <c r="C902" i="13"/>
  <c r="K901" i="13"/>
  <c r="J901" i="13"/>
  <c r="F901" i="13"/>
  <c r="C901" i="13" a="1"/>
  <c r="C901" i="13" s="1"/>
  <c r="B901" i="13"/>
  <c r="J900" i="13"/>
  <c r="K900" i="13" s="1"/>
  <c r="F900" i="13"/>
  <c r="C900" i="13"/>
  <c r="C900" i="13" a="1"/>
  <c r="J899" i="13"/>
  <c r="K899" i="13" s="1"/>
  <c r="F899" i="13"/>
  <c r="C899" i="13"/>
  <c r="K898" i="13"/>
  <c r="J898" i="13"/>
  <c r="F898" i="13"/>
  <c r="C898" i="13"/>
  <c r="C898" i="13" a="1"/>
  <c r="F897" i="13"/>
  <c r="J897" i="13" s="1"/>
  <c r="K897" i="13" s="1"/>
  <c r="C897" i="13"/>
  <c r="C897" i="13" a="1"/>
  <c r="K896" i="13"/>
  <c r="J896" i="13"/>
  <c r="F896" i="13"/>
  <c r="C896" i="13"/>
  <c r="C896" i="13" a="1"/>
  <c r="B896" i="13"/>
  <c r="F894" i="13"/>
  <c r="C894" i="13"/>
  <c r="D890" i="13" a="1"/>
  <c r="D890" i="13" s="1"/>
  <c r="E889" i="13" s="1"/>
  <c r="D888" i="13"/>
  <c r="J918" i="13" s="1"/>
  <c r="K918" i="13" s="1"/>
  <c r="D886" i="13"/>
  <c r="D885" i="13" a="1"/>
  <c r="D885" i="13" s="1"/>
  <c r="J908" i="13" s="1"/>
  <c r="K908" i="13" s="1"/>
  <c r="D884" i="13"/>
  <c r="D887" i="13" s="1"/>
  <c r="H883" i="13" a="1"/>
  <c r="H883" i="13" s="1"/>
  <c r="G883" i="13"/>
  <c r="G883" i="13" a="1"/>
  <c r="F883" i="13"/>
  <c r="I883" i="13" s="1"/>
  <c r="F883" i="13" a="1"/>
  <c r="K882" i="13"/>
  <c r="I882" i="13"/>
  <c r="H882" i="13" a="1"/>
  <c r="H882" i="13" s="1"/>
  <c r="K881" i="13"/>
  <c r="I881" i="13"/>
  <c r="H881" i="13"/>
  <c r="H881" i="13" a="1"/>
  <c r="B881" i="13" a="1"/>
  <c r="B881" i="13" s="1"/>
  <c r="K880" i="13"/>
  <c r="I880" i="13"/>
  <c r="H880" i="13"/>
  <c r="H880" i="13" a="1"/>
  <c r="K879" i="13"/>
  <c r="I879" i="13"/>
  <c r="H879" i="13" a="1"/>
  <c r="H879" i="13" s="1"/>
  <c r="B879" i="13"/>
  <c r="K878" i="13"/>
  <c r="I878" i="13"/>
  <c r="H878" i="13"/>
  <c r="H878" i="13" a="1"/>
  <c r="K877" i="13"/>
  <c r="I877" i="13"/>
  <c r="H877" i="13"/>
  <c r="H877" i="13" a="1"/>
  <c r="K876" i="13"/>
  <c r="I876" i="13"/>
  <c r="H876" i="13"/>
  <c r="H876" i="13" a="1"/>
  <c r="K875" i="13"/>
  <c r="I875" i="13"/>
  <c r="H875" i="13"/>
  <c r="H875" i="13" a="1"/>
  <c r="K874" i="13"/>
  <c r="I874" i="13"/>
  <c r="H874" i="13"/>
  <c r="H874" i="13" a="1"/>
  <c r="I865" i="13"/>
  <c r="F865" i="13"/>
  <c r="J865" i="13" s="1"/>
  <c r="K865" i="13" s="1"/>
  <c r="B865" i="13"/>
  <c r="C864" i="13" a="1"/>
  <c r="C864" i="13" s="1"/>
  <c r="B864" i="13"/>
  <c r="J864" i="13" s="1"/>
  <c r="K864" i="13" s="1"/>
  <c r="K863" i="13"/>
  <c r="J863" i="13"/>
  <c r="I863" i="13"/>
  <c r="F863" i="13"/>
  <c r="C863" i="13"/>
  <c r="B863" i="13"/>
  <c r="J862" i="13"/>
  <c r="K862" i="13" s="1"/>
  <c r="J862" i="13" a="1"/>
  <c r="I862" i="13"/>
  <c r="I862" i="13" a="1"/>
  <c r="F862" i="13" a="1"/>
  <c r="F862" i="13" s="1"/>
  <c r="C862" i="13" a="1"/>
  <c r="C862" i="13" s="1"/>
  <c r="B862" i="13"/>
  <c r="B862" i="13" a="1"/>
  <c r="K861" i="13"/>
  <c r="J861" i="13"/>
  <c r="J861" i="13" a="1"/>
  <c r="I861" i="13"/>
  <c r="I861" i="13" a="1"/>
  <c r="F861" i="13" a="1"/>
  <c r="F861" i="13" s="1"/>
  <c r="C861" i="13"/>
  <c r="C861" i="13" a="1"/>
  <c r="B861" i="13"/>
  <c r="B861" i="13" a="1"/>
  <c r="I860" i="13"/>
  <c r="F860" i="13"/>
  <c r="J860" i="13" s="1"/>
  <c r="K860" i="13" s="1"/>
  <c r="C860" i="13"/>
  <c r="C860" i="13" a="1"/>
  <c r="B860" i="13"/>
  <c r="F859" i="13"/>
  <c r="J859" i="13" s="1"/>
  <c r="K859" i="13" s="1"/>
  <c r="C859" i="13"/>
  <c r="C859" i="13" a="1"/>
  <c r="B859" i="13"/>
  <c r="I859" i="13" s="1"/>
  <c r="B859" i="13" a="1"/>
  <c r="C858" i="13"/>
  <c r="F857" i="13"/>
  <c r="C857" i="13"/>
  <c r="C856" i="13"/>
  <c r="F855" i="13"/>
  <c r="J855" i="13" s="1"/>
  <c r="K855" i="13" s="1"/>
  <c r="C855" i="13"/>
  <c r="C855" i="13" a="1"/>
  <c r="K854" i="13"/>
  <c r="J854" i="13"/>
  <c r="J856" i="13" s="1"/>
  <c r="K856" i="13" s="1"/>
  <c r="C854" i="13"/>
  <c r="C854" i="13" a="1"/>
  <c r="J853" i="13"/>
  <c r="K853" i="13" s="1"/>
  <c r="F853" i="13"/>
  <c r="C853" i="13"/>
  <c r="C853" i="13" a="1"/>
  <c r="I852" i="13" a="1"/>
  <c r="I852" i="13" s="1"/>
  <c r="F852" i="13"/>
  <c r="J852" i="13" s="1"/>
  <c r="K852" i="13" s="1"/>
  <c r="F852" i="13" a="1"/>
  <c r="C852" i="13"/>
  <c r="C852" i="13" a="1"/>
  <c r="B852" i="13" a="1"/>
  <c r="B852" i="13" s="1"/>
  <c r="F851" i="13"/>
  <c r="J851" i="13" s="1"/>
  <c r="K851" i="13" s="1"/>
  <c r="C851" i="13"/>
  <c r="K850" i="13"/>
  <c r="J850" i="13"/>
  <c r="F850" i="13"/>
  <c r="C850" i="13"/>
  <c r="C850" i="13" a="1"/>
  <c r="B850" i="13"/>
  <c r="K849" i="13"/>
  <c r="J849" i="13"/>
  <c r="F849" i="13"/>
  <c r="C849" i="13"/>
  <c r="C849" i="13" a="1"/>
  <c r="F848" i="13"/>
  <c r="J848" i="13" s="1"/>
  <c r="K848" i="13" s="1"/>
  <c r="C848" i="13"/>
  <c r="K847" i="13"/>
  <c r="J847" i="13"/>
  <c r="F847" i="13"/>
  <c r="C847" i="13" a="1"/>
  <c r="C847" i="13" s="1"/>
  <c r="F846" i="13"/>
  <c r="J846" i="13" s="1"/>
  <c r="K846" i="13" s="1"/>
  <c r="C846" i="13"/>
  <c r="C846" i="13" a="1"/>
  <c r="F845" i="13"/>
  <c r="J845" i="13" s="1"/>
  <c r="K845" i="13" s="1"/>
  <c r="C845" i="13" a="1"/>
  <c r="C845" i="13" s="1"/>
  <c r="B845" i="13"/>
  <c r="F843" i="13"/>
  <c r="C843" i="13"/>
  <c r="D839" i="13" a="1"/>
  <c r="D839" i="13" s="1"/>
  <c r="E838" i="13" s="1"/>
  <c r="D837" i="13"/>
  <c r="D835" i="13"/>
  <c r="D834" i="13" a="1"/>
  <c r="D834" i="13" s="1"/>
  <c r="J857" i="13" s="1"/>
  <c r="K857" i="13" s="1"/>
  <c r="D833" i="13"/>
  <c r="H832" i="13" a="1"/>
  <c r="H832" i="13" s="1"/>
  <c r="G832" i="13"/>
  <c r="G832" i="13" a="1"/>
  <c r="F832" i="13"/>
  <c r="I832" i="13" s="1"/>
  <c r="F832" i="13" a="1"/>
  <c r="K831" i="13"/>
  <c r="I831" i="13"/>
  <c r="H831" i="13" a="1"/>
  <c r="H831" i="13" s="1"/>
  <c r="K830" i="13"/>
  <c r="I830" i="13"/>
  <c r="H830" i="13"/>
  <c r="H830" i="13" a="1"/>
  <c r="B830" i="13"/>
  <c r="B830" i="13" a="1"/>
  <c r="K829" i="13"/>
  <c r="I829" i="13"/>
  <c r="H829" i="13"/>
  <c r="H829" i="13" a="1"/>
  <c r="K828" i="13"/>
  <c r="I828" i="13"/>
  <c r="H828" i="13"/>
  <c r="H828" i="13" a="1"/>
  <c r="B828" i="13"/>
  <c r="K827" i="13"/>
  <c r="I827" i="13"/>
  <c r="H827" i="13"/>
  <c r="H827" i="13" a="1"/>
  <c r="K826" i="13"/>
  <c r="I826" i="13"/>
  <c r="H826" i="13" a="1"/>
  <c r="H826" i="13" s="1"/>
  <c r="K825" i="13"/>
  <c r="I825" i="13"/>
  <c r="H825" i="13"/>
  <c r="H825" i="13" a="1"/>
  <c r="K824" i="13"/>
  <c r="I824" i="13"/>
  <c r="H824" i="13" a="1"/>
  <c r="H824" i="13" s="1"/>
  <c r="K823" i="13"/>
  <c r="I823" i="13"/>
  <c r="H823" i="13"/>
  <c r="H823" i="13" a="1"/>
  <c r="J816" i="13"/>
  <c r="K816" i="13" s="1"/>
  <c r="I814" i="13"/>
  <c r="F814" i="13"/>
  <c r="J814" i="13" s="1"/>
  <c r="K814" i="13" s="1"/>
  <c r="B814" i="13"/>
  <c r="C813" i="13" a="1"/>
  <c r="C813" i="13" s="1"/>
  <c r="B813" i="13"/>
  <c r="F813" i="13" s="1"/>
  <c r="B812" i="13"/>
  <c r="C812" i="13" s="1"/>
  <c r="K811" i="13"/>
  <c r="J811" i="13"/>
  <c r="J811" i="13" a="1"/>
  <c r="I811" i="13"/>
  <c r="I811" i="13" a="1"/>
  <c r="F811" i="13"/>
  <c r="F811" i="13" a="1"/>
  <c r="C811" i="13" a="1"/>
  <c r="C811" i="13" s="1"/>
  <c r="B811" i="13"/>
  <c r="B811" i="13" a="1"/>
  <c r="J810" i="13" a="1"/>
  <c r="J810" i="13" s="1"/>
  <c r="K810" i="13" s="1"/>
  <c r="I810" i="13" a="1"/>
  <c r="I810" i="13" s="1"/>
  <c r="F810" i="13"/>
  <c r="F810" i="13" a="1"/>
  <c r="C810" i="13"/>
  <c r="C810" i="13" a="1"/>
  <c r="B810" i="13" a="1"/>
  <c r="B810" i="13" s="1"/>
  <c r="I809" i="13"/>
  <c r="F809" i="13"/>
  <c r="J809" i="13" s="1"/>
  <c r="K809" i="13" s="1"/>
  <c r="C809" i="13"/>
  <c r="C809" i="13" a="1"/>
  <c r="B809" i="13"/>
  <c r="I808" i="13"/>
  <c r="F808" i="13"/>
  <c r="J808" i="13" s="1"/>
  <c r="K808" i="13" s="1"/>
  <c r="C808" i="13"/>
  <c r="C808" i="13" a="1"/>
  <c r="B808" i="13"/>
  <c r="B808" i="13" a="1"/>
  <c r="C807" i="13"/>
  <c r="K806" i="13"/>
  <c r="F806" i="13"/>
  <c r="C806" i="13"/>
  <c r="C805" i="13"/>
  <c r="J804" i="13"/>
  <c r="K804" i="13" s="1"/>
  <c r="F804" i="13"/>
  <c r="C804" i="13"/>
  <c r="C804" i="13" a="1"/>
  <c r="J803" i="13"/>
  <c r="K803" i="13" s="1"/>
  <c r="C803" i="13" a="1"/>
  <c r="C803" i="13" s="1"/>
  <c r="K802" i="13"/>
  <c r="J802" i="13"/>
  <c r="F802" i="13"/>
  <c r="C802" i="13"/>
  <c r="C802" i="13" a="1"/>
  <c r="I801" i="13" a="1"/>
  <c r="I801" i="13" s="1"/>
  <c r="F801" i="13"/>
  <c r="J801" i="13" s="1"/>
  <c r="K801" i="13" s="1"/>
  <c r="F801" i="13" a="1"/>
  <c r="C801" i="13"/>
  <c r="C801" i="13" a="1"/>
  <c r="B801" i="13"/>
  <c r="B801" i="13" a="1"/>
  <c r="J800" i="13"/>
  <c r="K800" i="13" s="1"/>
  <c r="F800" i="13"/>
  <c r="C800" i="13"/>
  <c r="F799" i="13"/>
  <c r="J799" i="13" s="1"/>
  <c r="K799" i="13" s="1"/>
  <c r="C799" i="13" a="1"/>
  <c r="C799" i="13" s="1"/>
  <c r="B799" i="13"/>
  <c r="K798" i="13"/>
  <c r="J798" i="13"/>
  <c r="F798" i="13"/>
  <c r="C798" i="13" a="1"/>
  <c r="C798" i="13" s="1"/>
  <c r="F797" i="13"/>
  <c r="J797" i="13" s="1"/>
  <c r="K797" i="13" s="1"/>
  <c r="C797" i="13"/>
  <c r="K796" i="13"/>
  <c r="J796" i="13"/>
  <c r="F796" i="13"/>
  <c r="C796" i="13"/>
  <c r="C796" i="13" a="1"/>
  <c r="J795" i="13"/>
  <c r="K795" i="13" s="1"/>
  <c r="F795" i="13"/>
  <c r="C795" i="13"/>
  <c r="C795" i="13" a="1"/>
  <c r="J794" i="13"/>
  <c r="K794" i="13" s="1"/>
  <c r="F794" i="13"/>
  <c r="C794" i="13" a="1"/>
  <c r="C794" i="13" s="1"/>
  <c r="B794" i="13"/>
  <c r="F792" i="13"/>
  <c r="C792" i="13"/>
  <c r="B790" i="13"/>
  <c r="D788" i="13"/>
  <c r="E787" i="13" s="1"/>
  <c r="D788" i="13" a="1"/>
  <c r="D786" i="13"/>
  <c r="D784" i="13"/>
  <c r="D783" i="13"/>
  <c r="J806" i="13" s="1"/>
  <c r="D783" i="13" a="1"/>
  <c r="D782" i="13"/>
  <c r="D785" i="13" s="1"/>
  <c r="J781" i="13"/>
  <c r="K781" i="13" s="1"/>
  <c r="I781" i="13"/>
  <c r="G781" i="13"/>
  <c r="G781" i="13" a="1"/>
  <c r="F781" i="13"/>
  <c r="J782" i="13" s="1"/>
  <c r="J783" i="13" s="1"/>
  <c r="K783" i="13" s="1"/>
  <c r="F781" i="13" a="1"/>
  <c r="K780" i="13"/>
  <c r="I780" i="13"/>
  <c r="H780" i="13"/>
  <c r="H780" i="13" a="1"/>
  <c r="K779" i="13"/>
  <c r="I779" i="13"/>
  <c r="H779" i="13"/>
  <c r="H779" i="13" a="1"/>
  <c r="B779" i="13" a="1"/>
  <c r="B779" i="13" s="1"/>
  <c r="K778" i="13"/>
  <c r="I778" i="13"/>
  <c r="H778" i="13"/>
  <c r="H778" i="13" a="1"/>
  <c r="K777" i="13"/>
  <c r="I777" i="13"/>
  <c r="H777" i="13" a="1"/>
  <c r="H777" i="13" s="1"/>
  <c r="B777" i="13"/>
  <c r="K776" i="13"/>
  <c r="I776" i="13"/>
  <c r="H776" i="13" a="1"/>
  <c r="H776" i="13" s="1"/>
  <c r="K775" i="13"/>
  <c r="I775" i="13"/>
  <c r="H775" i="13"/>
  <c r="H775" i="13" a="1"/>
  <c r="K774" i="13"/>
  <c r="K782" i="13" s="1"/>
  <c r="I774" i="13"/>
  <c r="H774" i="13" a="1"/>
  <c r="H774" i="13" s="1"/>
  <c r="H781" i="13" s="1" a="1"/>
  <c r="H781" i="13" s="1"/>
  <c r="K773" i="13"/>
  <c r="I773" i="13"/>
  <c r="H773" i="13"/>
  <c r="H773" i="13" a="1"/>
  <c r="K772" i="13"/>
  <c r="I772" i="13"/>
  <c r="H772" i="13" a="1"/>
  <c r="H772" i="13" s="1"/>
  <c r="J765" i="13"/>
  <c r="K765" i="13" s="1"/>
  <c r="K763" i="13"/>
  <c r="J763" i="13"/>
  <c r="I763" i="13"/>
  <c r="F763" i="13"/>
  <c r="B763" i="13"/>
  <c r="I762" i="13"/>
  <c r="F762" i="13"/>
  <c r="B762" i="13"/>
  <c r="J762" i="13" s="1"/>
  <c r="K762" i="13" s="1"/>
  <c r="C761" i="13"/>
  <c r="B761" i="13"/>
  <c r="I761" i="13" s="1"/>
  <c r="K760" i="13"/>
  <c r="J760" i="13"/>
  <c r="J760" i="13" a="1"/>
  <c r="I760" i="13"/>
  <c r="I760" i="13" a="1"/>
  <c r="F760" i="13" a="1"/>
  <c r="F760" i="13" s="1"/>
  <c r="C760" i="13"/>
  <c r="C760" i="13" a="1"/>
  <c r="B760" i="13"/>
  <c r="B760" i="13" a="1"/>
  <c r="J759" i="13" a="1"/>
  <c r="J759" i="13" s="1"/>
  <c r="K759" i="13" s="1"/>
  <c r="I759" i="13"/>
  <c r="I759" i="13" a="1"/>
  <c r="F759" i="13"/>
  <c r="F759" i="13" a="1"/>
  <c r="C759" i="13" a="1"/>
  <c r="C759" i="13" s="1"/>
  <c r="B759" i="13" a="1"/>
  <c r="B759" i="13" s="1"/>
  <c r="K758" i="13"/>
  <c r="J758" i="13"/>
  <c r="I758" i="13"/>
  <c r="F758" i="13"/>
  <c r="C758" i="13" a="1"/>
  <c r="C758" i="13" s="1"/>
  <c r="B758" i="13"/>
  <c r="J757" i="13"/>
  <c r="K757" i="13" s="1"/>
  <c r="I757" i="13"/>
  <c r="F757" i="13"/>
  <c r="C757" i="13"/>
  <c r="C757" i="13" a="1"/>
  <c r="B757" i="13"/>
  <c r="B757" i="13" a="1"/>
  <c r="C756" i="13"/>
  <c r="F755" i="13"/>
  <c r="C755" i="13"/>
  <c r="C754" i="13"/>
  <c r="K753" i="13"/>
  <c r="J753" i="13"/>
  <c r="F753" i="13"/>
  <c r="C753" i="13" a="1"/>
  <c r="C753" i="13" s="1"/>
  <c r="J752" i="13"/>
  <c r="K752" i="13" s="1"/>
  <c r="C752" i="13"/>
  <c r="C752" i="13" a="1"/>
  <c r="K751" i="13"/>
  <c r="J751" i="13"/>
  <c r="F751" i="13"/>
  <c r="C751" i="13"/>
  <c r="C751" i="13" a="1"/>
  <c r="J750" i="13"/>
  <c r="K750" i="13" s="1"/>
  <c r="I750" i="13"/>
  <c r="I750" i="13" a="1"/>
  <c r="F750" i="13"/>
  <c r="F750" i="13" a="1"/>
  <c r="C750" i="13"/>
  <c r="C750" i="13" a="1"/>
  <c r="B750" i="13" a="1"/>
  <c r="B750" i="13" s="1"/>
  <c r="K749" i="13"/>
  <c r="J749" i="13"/>
  <c r="F749" i="13"/>
  <c r="C749" i="13"/>
  <c r="F748" i="13"/>
  <c r="J748" i="13" s="1"/>
  <c r="K748" i="13" s="1"/>
  <c r="C748" i="13"/>
  <c r="C748" i="13" a="1"/>
  <c r="B748" i="13"/>
  <c r="K747" i="13"/>
  <c r="J747" i="13"/>
  <c r="F747" i="13"/>
  <c r="C747" i="13" a="1"/>
  <c r="C747" i="13" s="1"/>
  <c r="K746" i="13"/>
  <c r="J746" i="13"/>
  <c r="F746" i="13"/>
  <c r="C746" i="13"/>
  <c r="K745" i="13"/>
  <c r="J745" i="13"/>
  <c r="F745" i="13"/>
  <c r="C745" i="13" a="1"/>
  <c r="C745" i="13" s="1"/>
  <c r="K744" i="13"/>
  <c r="J744" i="13"/>
  <c r="F744" i="13"/>
  <c r="C744" i="13" a="1"/>
  <c r="C744" i="13" s="1"/>
  <c r="F743" i="13"/>
  <c r="J743" i="13" s="1"/>
  <c r="K743" i="13" s="1"/>
  <c r="C743" i="13"/>
  <c r="C743" i="13" a="1"/>
  <c r="B743" i="13"/>
  <c r="F741" i="13"/>
  <c r="C741" i="13"/>
  <c r="B739" i="13"/>
  <c r="D737" i="13"/>
  <c r="E736" i="13" s="1"/>
  <c r="D737" i="13" a="1"/>
  <c r="D735" i="13"/>
  <c r="D733" i="13"/>
  <c r="D732" i="13"/>
  <c r="D732" i="13" a="1"/>
  <c r="D731" i="13"/>
  <c r="K730" i="13"/>
  <c r="J730" i="13"/>
  <c r="G730" i="13"/>
  <c r="G730" i="13" a="1"/>
  <c r="F730" i="13" a="1"/>
  <c r="F730" i="13" s="1"/>
  <c r="K729" i="13"/>
  <c r="I729" i="13"/>
  <c r="H729" i="13"/>
  <c r="H729" i="13" a="1"/>
  <c r="K728" i="13"/>
  <c r="I728" i="13"/>
  <c r="H728" i="13" a="1"/>
  <c r="H728" i="13" s="1"/>
  <c r="B728" i="13"/>
  <c r="B728" i="13" a="1"/>
  <c r="K727" i="13"/>
  <c r="I727" i="13"/>
  <c r="H727" i="13"/>
  <c r="H727" i="13" a="1"/>
  <c r="K726" i="13"/>
  <c r="I726" i="13"/>
  <c r="H726" i="13"/>
  <c r="H726" i="13" a="1"/>
  <c r="B726" i="13"/>
  <c r="K725" i="13"/>
  <c r="I725" i="13"/>
  <c r="H725" i="13" a="1"/>
  <c r="H725" i="13" s="1"/>
  <c r="K724" i="13"/>
  <c r="I724" i="13"/>
  <c r="H724" i="13"/>
  <c r="H724" i="13" a="1"/>
  <c r="K723" i="13"/>
  <c r="I723" i="13"/>
  <c r="H723" i="13" a="1"/>
  <c r="H723" i="13" s="1"/>
  <c r="H730" i="13" s="1" a="1"/>
  <c r="H730" i="13" s="1"/>
  <c r="K722" i="13"/>
  <c r="I722" i="13"/>
  <c r="H722" i="13"/>
  <c r="H722" i="13" a="1"/>
  <c r="K721" i="13"/>
  <c r="I721" i="13"/>
  <c r="H721" i="13" a="1"/>
  <c r="H721" i="13" s="1"/>
  <c r="K712" i="13"/>
  <c r="J712" i="13"/>
  <c r="I712" i="13"/>
  <c r="F712" i="13"/>
  <c r="B712" i="13"/>
  <c r="J711" i="13"/>
  <c r="K711" i="13" s="1"/>
  <c r="I711" i="13"/>
  <c r="F711" i="13"/>
  <c r="B711" i="13"/>
  <c r="J710" i="13"/>
  <c r="K710" i="13" s="1"/>
  <c r="I710" i="13"/>
  <c r="F710" i="13"/>
  <c r="C710" i="13"/>
  <c r="B710" i="13"/>
  <c r="C711" i="13" s="1" a="1"/>
  <c r="C711" i="13" s="1"/>
  <c r="J709" i="13"/>
  <c r="K709" i="13" s="1"/>
  <c r="J709" i="13" a="1"/>
  <c r="I709" i="13" a="1"/>
  <c r="I709" i="13" s="1"/>
  <c r="F709" i="13"/>
  <c r="F709" i="13" a="1"/>
  <c r="C709" i="13"/>
  <c r="C709" i="13" a="1"/>
  <c r="B709" i="13"/>
  <c r="B709" i="13" a="1"/>
  <c r="J708" i="13"/>
  <c r="K708" i="13" s="1"/>
  <c r="J708" i="13" a="1"/>
  <c r="I708" i="13"/>
  <c r="I708" i="13" a="1"/>
  <c r="F708" i="13" a="1"/>
  <c r="F708" i="13" s="1"/>
  <c r="C708" i="13" a="1"/>
  <c r="C708" i="13" s="1"/>
  <c r="B708" i="13"/>
  <c r="B708" i="13" a="1"/>
  <c r="K707" i="13"/>
  <c r="J707" i="13"/>
  <c r="F707" i="13"/>
  <c r="C707" i="13" a="1"/>
  <c r="C707" i="13" s="1"/>
  <c r="B707" i="13"/>
  <c r="I707" i="13" s="1"/>
  <c r="K706" i="13"/>
  <c r="J706" i="13"/>
  <c r="F706" i="13"/>
  <c r="C706" i="13"/>
  <c r="C706" i="13" a="1"/>
  <c r="B706" i="13" a="1"/>
  <c r="B706" i="13" s="1"/>
  <c r="I706" i="13" s="1"/>
  <c r="C705" i="13"/>
  <c r="F704" i="13"/>
  <c r="C704" i="13"/>
  <c r="K703" i="13"/>
  <c r="C703" i="13"/>
  <c r="F702" i="13"/>
  <c r="J702" i="13" s="1"/>
  <c r="K702" i="13" s="1"/>
  <c r="C702" i="13" a="1"/>
  <c r="C702" i="13" s="1"/>
  <c r="K701" i="13"/>
  <c r="J701" i="13"/>
  <c r="J703" i="13" s="1"/>
  <c r="C701" i="13"/>
  <c r="C701" i="13" a="1"/>
  <c r="J700" i="13"/>
  <c r="K700" i="13" s="1"/>
  <c r="F700" i="13"/>
  <c r="C700" i="13" a="1"/>
  <c r="C700" i="13" s="1"/>
  <c r="K699" i="13"/>
  <c r="J699" i="13"/>
  <c r="I699" i="13"/>
  <c r="I699" i="13" a="1"/>
  <c r="F699" i="13"/>
  <c r="F699" i="13" a="1"/>
  <c r="C699" i="13" a="1"/>
  <c r="C699" i="13" s="1"/>
  <c r="B699" i="13"/>
  <c r="B699" i="13" a="1"/>
  <c r="F698" i="13"/>
  <c r="J698" i="13" s="1"/>
  <c r="K698" i="13" s="1"/>
  <c r="C698" i="13"/>
  <c r="J697" i="13"/>
  <c r="K697" i="13" s="1"/>
  <c r="F697" i="13"/>
  <c r="C697" i="13"/>
  <c r="C697" i="13" a="1"/>
  <c r="B697" i="13"/>
  <c r="F696" i="13"/>
  <c r="J696" i="13" s="1"/>
  <c r="K696" i="13" s="1"/>
  <c r="C696" i="13" a="1"/>
  <c r="C696" i="13" s="1"/>
  <c r="K695" i="13"/>
  <c r="J695" i="13"/>
  <c r="F695" i="13"/>
  <c r="C695" i="13"/>
  <c r="F694" i="13"/>
  <c r="J694" i="13" s="1"/>
  <c r="K694" i="13" s="1"/>
  <c r="C694" i="13"/>
  <c r="C694" i="13" a="1"/>
  <c r="F693" i="13"/>
  <c r="J693" i="13" s="1"/>
  <c r="K693" i="13" s="1"/>
  <c r="C693" i="13" a="1"/>
  <c r="C693" i="13" s="1"/>
  <c r="J692" i="13"/>
  <c r="K692" i="13" s="1"/>
  <c r="F692" i="13"/>
  <c r="C692" i="13"/>
  <c r="C692" i="13" a="1"/>
  <c r="B692" i="13"/>
  <c r="F690" i="13"/>
  <c r="C690" i="13"/>
  <c r="B688" i="13"/>
  <c r="D686" i="13" a="1"/>
  <c r="D686" i="13" s="1"/>
  <c r="E685" i="13" s="1"/>
  <c r="D684" i="13"/>
  <c r="D682" i="13"/>
  <c r="D681" i="13" a="1"/>
  <c r="D681" i="13" s="1"/>
  <c r="D680" i="13"/>
  <c r="J704" i="13" s="1"/>
  <c r="K704" i="13" s="1"/>
  <c r="G679" i="13" a="1"/>
  <c r="G679" i="13" s="1"/>
  <c r="F679" i="13"/>
  <c r="I679" i="13" s="1"/>
  <c r="F679" i="13" a="1"/>
  <c r="K678" i="13"/>
  <c r="I678" i="13"/>
  <c r="H678" i="13" a="1"/>
  <c r="H678" i="13" s="1"/>
  <c r="K677" i="13"/>
  <c r="I677" i="13"/>
  <c r="H677" i="13"/>
  <c r="H677" i="13" a="1"/>
  <c r="B677" i="13"/>
  <c r="B677" i="13" a="1"/>
  <c r="K676" i="13"/>
  <c r="I676" i="13"/>
  <c r="H676" i="13"/>
  <c r="H676" i="13" a="1"/>
  <c r="K675" i="13"/>
  <c r="I675" i="13"/>
  <c r="H675" i="13" a="1"/>
  <c r="H675" i="13" s="1"/>
  <c r="B675" i="13"/>
  <c r="K674" i="13"/>
  <c r="I674" i="13"/>
  <c r="H674" i="13"/>
  <c r="H674" i="13" a="1"/>
  <c r="K673" i="13"/>
  <c r="I673" i="13"/>
  <c r="H673" i="13"/>
  <c r="H673" i="13" a="1"/>
  <c r="K672" i="13"/>
  <c r="I672" i="13"/>
  <c r="H672" i="13"/>
  <c r="H679" i="13" s="1" a="1"/>
  <c r="H679" i="13" s="1"/>
  <c r="H672" i="13" a="1"/>
  <c r="K671" i="13"/>
  <c r="I671" i="13"/>
  <c r="H671" i="13"/>
  <c r="H671" i="13" a="1"/>
  <c r="K670" i="13"/>
  <c r="I670" i="13"/>
  <c r="H670" i="13"/>
  <c r="H670" i="13" a="1"/>
  <c r="B661" i="13"/>
  <c r="I661" i="13" s="1"/>
  <c r="C660" i="13" a="1"/>
  <c r="C660" i="13" s="1"/>
  <c r="B660" i="13"/>
  <c r="J659" i="13"/>
  <c r="K659" i="13" s="1"/>
  <c r="I659" i="13"/>
  <c r="F659" i="13"/>
  <c r="C659" i="13"/>
  <c r="B659" i="13"/>
  <c r="J658" i="13"/>
  <c r="K658" i="13" s="1"/>
  <c r="J658" i="13" a="1"/>
  <c r="I658" i="13"/>
  <c r="I658" i="13" a="1"/>
  <c r="F658" i="13" a="1"/>
  <c r="F658" i="13" s="1"/>
  <c r="C658" i="13" a="1"/>
  <c r="C658" i="13" s="1"/>
  <c r="B658" i="13" a="1"/>
  <c r="B658" i="13" s="1"/>
  <c r="K657" i="13"/>
  <c r="J657" i="13"/>
  <c r="J657" i="13" a="1"/>
  <c r="I657" i="13"/>
  <c r="I657" i="13" a="1"/>
  <c r="F657" i="13" a="1"/>
  <c r="F657" i="13" s="1"/>
  <c r="C657" i="13" a="1"/>
  <c r="C657" i="13" s="1"/>
  <c r="B657" i="13"/>
  <c r="B657" i="13" a="1"/>
  <c r="F656" i="13"/>
  <c r="J656" i="13" s="1"/>
  <c r="K656" i="13" s="1"/>
  <c r="C656" i="13"/>
  <c r="C656" i="13" a="1"/>
  <c r="B656" i="13"/>
  <c r="I656" i="13" s="1"/>
  <c r="K655" i="13"/>
  <c r="J655" i="13"/>
  <c r="F655" i="13"/>
  <c r="C655" i="13" a="1"/>
  <c r="C655" i="13" s="1"/>
  <c r="B655" i="13"/>
  <c r="I655" i="13" s="1"/>
  <c r="B655" i="13" a="1"/>
  <c r="C654" i="13"/>
  <c r="F653" i="13"/>
  <c r="C653" i="13"/>
  <c r="C652" i="13"/>
  <c r="F651" i="13"/>
  <c r="J651" i="13" s="1"/>
  <c r="K651" i="13" s="1"/>
  <c r="C651" i="13"/>
  <c r="C651" i="13" a="1"/>
  <c r="K650" i="13"/>
  <c r="J650" i="13"/>
  <c r="J652" i="13" s="1"/>
  <c r="K652" i="13" s="1"/>
  <c r="C650" i="13"/>
  <c r="C650" i="13" a="1"/>
  <c r="F649" i="13"/>
  <c r="J649" i="13" s="1"/>
  <c r="K649" i="13" s="1"/>
  <c r="C649" i="13"/>
  <c r="C649" i="13" a="1"/>
  <c r="I648" i="13" a="1"/>
  <c r="I648" i="13" s="1"/>
  <c r="F648" i="13" a="1"/>
  <c r="F648" i="13" s="1"/>
  <c r="J648" i="13" s="1"/>
  <c r="K648" i="13" s="1"/>
  <c r="C648" i="13"/>
  <c r="C648" i="13" a="1"/>
  <c r="B648" i="13"/>
  <c r="B648" i="13" a="1"/>
  <c r="F647" i="13"/>
  <c r="J647" i="13" s="1"/>
  <c r="K647" i="13" s="1"/>
  <c r="C647" i="13"/>
  <c r="K646" i="13"/>
  <c r="J646" i="13"/>
  <c r="F646" i="13"/>
  <c r="C646" i="13"/>
  <c r="C646" i="13" a="1"/>
  <c r="B646" i="13"/>
  <c r="K645" i="13"/>
  <c r="J645" i="13"/>
  <c r="F645" i="13"/>
  <c r="C645" i="13"/>
  <c r="C645" i="13" a="1"/>
  <c r="J644" i="13"/>
  <c r="K644" i="13" s="1"/>
  <c r="F644" i="13"/>
  <c r="C644" i="13"/>
  <c r="K643" i="13"/>
  <c r="J643" i="13"/>
  <c r="F643" i="13"/>
  <c r="C643" i="13"/>
  <c r="C643" i="13" a="1"/>
  <c r="F642" i="13"/>
  <c r="J642" i="13" s="1"/>
  <c r="K642" i="13" s="1"/>
  <c r="C642" i="13" a="1"/>
  <c r="C642" i="13" s="1"/>
  <c r="K641" i="13"/>
  <c r="J641" i="13"/>
  <c r="F641" i="13"/>
  <c r="C641" i="13" a="1"/>
  <c r="C641" i="13" s="1"/>
  <c r="B641" i="13"/>
  <c r="F639" i="13"/>
  <c r="C639" i="13"/>
  <c r="B637" i="13"/>
  <c r="D635" i="13" a="1"/>
  <c r="D635" i="13" s="1"/>
  <c r="E634" i="13" s="1"/>
  <c r="D633" i="13"/>
  <c r="D631" i="13"/>
  <c r="D630" i="13"/>
  <c r="J653" i="13" s="1"/>
  <c r="K653" i="13" s="1"/>
  <c r="D630" i="13" a="1"/>
  <c r="D629" i="13"/>
  <c r="H628" i="13"/>
  <c r="H628" i="13" a="1"/>
  <c r="G628" i="13"/>
  <c r="G628" i="13" a="1"/>
  <c r="F628" i="13" a="1"/>
  <c r="F628" i="13" s="1"/>
  <c r="K627" i="13"/>
  <c r="I627" i="13"/>
  <c r="H627" i="13" a="1"/>
  <c r="H627" i="13" s="1"/>
  <c r="K626" i="13"/>
  <c r="I626" i="13"/>
  <c r="H626" i="13" a="1"/>
  <c r="H626" i="13" s="1"/>
  <c r="B626" i="13" a="1"/>
  <c r="B626" i="13" s="1"/>
  <c r="K625" i="13"/>
  <c r="I625" i="13"/>
  <c r="H625" i="13"/>
  <c r="H625" i="13" a="1"/>
  <c r="K624" i="13"/>
  <c r="I624" i="13"/>
  <c r="H624" i="13" a="1"/>
  <c r="H624" i="13" s="1"/>
  <c r="B624" i="13"/>
  <c r="K623" i="13"/>
  <c r="I623" i="13"/>
  <c r="H623" i="13"/>
  <c r="H623" i="13" a="1"/>
  <c r="K622" i="13"/>
  <c r="I622" i="13"/>
  <c r="H622" i="13" a="1"/>
  <c r="H622" i="13" s="1"/>
  <c r="K621" i="13"/>
  <c r="I621" i="13"/>
  <c r="H621" i="13"/>
  <c r="H621" i="13" a="1"/>
  <c r="K620" i="13"/>
  <c r="I620" i="13"/>
  <c r="H620" i="13" a="1"/>
  <c r="H620" i="13" s="1"/>
  <c r="K619" i="13"/>
  <c r="I619" i="13"/>
  <c r="H619" i="13"/>
  <c r="H619" i="13" a="1"/>
  <c r="I610" i="13"/>
  <c r="F610" i="13"/>
  <c r="J610" i="13" s="1"/>
  <c r="K610" i="13" s="1"/>
  <c r="B610" i="13"/>
  <c r="C609" i="13" a="1"/>
  <c r="C609" i="13" s="1"/>
  <c r="B609" i="13"/>
  <c r="B608" i="13"/>
  <c r="J607" i="13"/>
  <c r="K607" i="13" s="1"/>
  <c r="J607" i="13" a="1"/>
  <c r="I607" i="13"/>
  <c r="I607" i="13" a="1"/>
  <c r="F607" i="13" a="1"/>
  <c r="F607" i="13" s="1"/>
  <c r="C607" i="13" a="1"/>
  <c r="C607" i="13" s="1"/>
  <c r="B607" i="13"/>
  <c r="B607" i="13" a="1"/>
  <c r="K606" i="13"/>
  <c r="J606" i="13"/>
  <c r="J606" i="13" a="1"/>
  <c r="I606" i="13" a="1"/>
  <c r="I606" i="13" s="1"/>
  <c r="F606" i="13" a="1"/>
  <c r="F606" i="13" s="1"/>
  <c r="C606" i="13"/>
  <c r="C606" i="13" a="1"/>
  <c r="B606" i="13"/>
  <c r="B606" i="13" a="1"/>
  <c r="I605" i="13"/>
  <c r="F605" i="13"/>
  <c r="J605" i="13" s="1"/>
  <c r="K605" i="13" s="1"/>
  <c r="C605" i="13"/>
  <c r="C605" i="13" a="1"/>
  <c r="B605" i="13"/>
  <c r="I604" i="13"/>
  <c r="F604" i="13"/>
  <c r="J604" i="13" s="1"/>
  <c r="K604" i="13" s="1"/>
  <c r="C604" i="13"/>
  <c r="C604" i="13" a="1"/>
  <c r="B604" i="13"/>
  <c r="B604" i="13" a="1"/>
  <c r="C603" i="13"/>
  <c r="F602" i="13"/>
  <c r="C602" i="13"/>
  <c r="C601" i="13"/>
  <c r="J600" i="13"/>
  <c r="K600" i="13" s="1"/>
  <c r="F600" i="13"/>
  <c r="C600" i="13"/>
  <c r="C600" i="13" a="1"/>
  <c r="K599" i="13"/>
  <c r="J599" i="13"/>
  <c r="J601" i="13" s="1"/>
  <c r="K601" i="13" s="1"/>
  <c r="C599" i="13" a="1"/>
  <c r="C599" i="13" s="1"/>
  <c r="J598" i="13"/>
  <c r="K598" i="13" s="1"/>
  <c r="F598" i="13"/>
  <c r="C598" i="13"/>
  <c r="C598" i="13" a="1"/>
  <c r="I597" i="13"/>
  <c r="I597" i="13" a="1"/>
  <c r="F597" i="13"/>
  <c r="J597" i="13" s="1"/>
  <c r="K597" i="13" s="1"/>
  <c r="F597" i="13" a="1"/>
  <c r="C597" i="13"/>
  <c r="C597" i="13" a="1"/>
  <c r="B597" i="13" a="1"/>
  <c r="B597" i="13" s="1"/>
  <c r="K596" i="13"/>
  <c r="J596" i="13"/>
  <c r="F596" i="13"/>
  <c r="C596" i="13"/>
  <c r="K595" i="13"/>
  <c r="J595" i="13"/>
  <c r="F595" i="13"/>
  <c r="C595" i="13" a="1"/>
  <c r="C595" i="13" s="1"/>
  <c r="B595" i="13"/>
  <c r="K594" i="13"/>
  <c r="J594" i="13"/>
  <c r="F594" i="13"/>
  <c r="C594" i="13"/>
  <c r="C594" i="13" a="1"/>
  <c r="F593" i="13"/>
  <c r="J593" i="13" s="1"/>
  <c r="K593" i="13" s="1"/>
  <c r="C593" i="13"/>
  <c r="K592" i="13"/>
  <c r="J592" i="13"/>
  <c r="F592" i="13"/>
  <c r="C592" i="13" a="1"/>
  <c r="C592" i="13" s="1"/>
  <c r="F591" i="13"/>
  <c r="J591" i="13" s="1"/>
  <c r="K591" i="13" s="1"/>
  <c r="C591" i="13"/>
  <c r="C591" i="13" a="1"/>
  <c r="F590" i="13"/>
  <c r="J590" i="13" s="1"/>
  <c r="K590" i="13" s="1"/>
  <c r="C590" i="13"/>
  <c r="C590" i="13" a="1"/>
  <c r="B590" i="13"/>
  <c r="F588" i="13"/>
  <c r="C588" i="13"/>
  <c r="B586" i="13"/>
  <c r="D584" i="13" a="1"/>
  <c r="D584" i="13" s="1"/>
  <c r="E583" i="13" s="1"/>
  <c r="D582" i="13"/>
  <c r="J612" i="13" s="1"/>
  <c r="K612" i="13" s="1"/>
  <c r="D580" i="13"/>
  <c r="D579" i="13"/>
  <c r="J602" i="13" s="1"/>
  <c r="K602" i="13" s="1"/>
  <c r="D579" i="13" a="1"/>
  <c r="D578" i="13"/>
  <c r="J577" i="13"/>
  <c r="K577" i="13" s="1"/>
  <c r="I577" i="13"/>
  <c r="H577" i="13"/>
  <c r="H577" i="13" a="1"/>
  <c r="G577" i="13"/>
  <c r="G577" i="13" a="1"/>
  <c r="F577" i="13" a="1"/>
  <c r="F577" i="13" s="1"/>
  <c r="K576" i="13"/>
  <c r="I576" i="13"/>
  <c r="H576" i="13"/>
  <c r="H576" i="13" a="1"/>
  <c r="K575" i="13"/>
  <c r="I575" i="13"/>
  <c r="H575" i="13" a="1"/>
  <c r="H575" i="13" s="1"/>
  <c r="B575" i="13"/>
  <c r="B575" i="13" a="1"/>
  <c r="K574" i="13"/>
  <c r="I574" i="13"/>
  <c r="H574" i="13"/>
  <c r="H574" i="13" a="1"/>
  <c r="K573" i="13"/>
  <c r="I573" i="13"/>
  <c r="H573" i="13"/>
  <c r="H573" i="13" a="1"/>
  <c r="B573" i="13"/>
  <c r="K572" i="13"/>
  <c r="I572" i="13"/>
  <c r="H572" i="13"/>
  <c r="H572" i="13" a="1"/>
  <c r="K571" i="13"/>
  <c r="I571" i="13"/>
  <c r="H571" i="13" a="1"/>
  <c r="H571" i="13" s="1"/>
  <c r="K570" i="13"/>
  <c r="I570" i="13"/>
  <c r="H570" i="13"/>
  <c r="H570" i="13" a="1"/>
  <c r="K569" i="13"/>
  <c r="I569" i="13"/>
  <c r="H569" i="13" a="1"/>
  <c r="H569" i="13" s="1"/>
  <c r="K568" i="13"/>
  <c r="I568" i="13"/>
  <c r="H568" i="13"/>
  <c r="H568" i="13" a="1"/>
  <c r="J561" i="13"/>
  <c r="K561" i="13" s="1"/>
  <c r="K559" i="13"/>
  <c r="J559" i="13"/>
  <c r="I559" i="13"/>
  <c r="F559" i="13"/>
  <c r="B559" i="13"/>
  <c r="I558" i="13"/>
  <c r="F558" i="13"/>
  <c r="C558" i="13" a="1"/>
  <c r="C558" i="13" s="1"/>
  <c r="B558" i="13"/>
  <c r="J558" i="13" s="1"/>
  <c r="K558" i="13" s="1"/>
  <c r="F557" i="13"/>
  <c r="C557" i="13"/>
  <c r="B557" i="13"/>
  <c r="J556" i="13" a="1"/>
  <c r="J556" i="13" s="1"/>
  <c r="K556" i="13" s="1"/>
  <c r="I556" i="13" a="1"/>
  <c r="I556" i="13" s="1"/>
  <c r="F556" i="13"/>
  <c r="F556" i="13" a="1"/>
  <c r="C556" i="13"/>
  <c r="C556" i="13" a="1"/>
  <c r="B556" i="13" a="1"/>
  <c r="B556" i="13" s="1"/>
  <c r="J555" i="13" a="1"/>
  <c r="J555" i="13" s="1"/>
  <c r="K555" i="13" s="1"/>
  <c r="I555" i="13"/>
  <c r="I555" i="13" a="1"/>
  <c r="F555" i="13"/>
  <c r="F555" i="13" a="1"/>
  <c r="C555" i="13"/>
  <c r="C555" i="13" a="1"/>
  <c r="B555" i="13" a="1"/>
  <c r="B555" i="13" s="1"/>
  <c r="J554" i="13"/>
  <c r="K554" i="13" s="1"/>
  <c r="I554" i="13"/>
  <c r="F554" i="13"/>
  <c r="C554" i="13"/>
  <c r="C554" i="13" a="1"/>
  <c r="B554" i="13"/>
  <c r="I553" i="13"/>
  <c r="F553" i="13"/>
  <c r="J553" i="13" s="1"/>
  <c r="K553" i="13" s="1"/>
  <c r="C553" i="13" a="1"/>
  <c r="C553" i="13" s="1"/>
  <c r="B553" i="13" a="1"/>
  <c r="B553" i="13" s="1"/>
  <c r="C552" i="13"/>
  <c r="F551" i="13"/>
  <c r="C551" i="13"/>
  <c r="J550" i="13"/>
  <c r="K550" i="13" s="1"/>
  <c r="C550" i="13"/>
  <c r="K549" i="13"/>
  <c r="J549" i="13"/>
  <c r="F549" i="13"/>
  <c r="C549" i="13"/>
  <c r="C549" i="13" a="1"/>
  <c r="J548" i="13"/>
  <c r="K548" i="13" s="1"/>
  <c r="C548" i="13"/>
  <c r="C548" i="13" a="1"/>
  <c r="K547" i="13"/>
  <c r="F547" i="13"/>
  <c r="J547" i="13" s="1"/>
  <c r="C547" i="13" a="1"/>
  <c r="C547" i="13" s="1"/>
  <c r="I546" i="13" a="1"/>
  <c r="I546" i="13" s="1"/>
  <c r="F546" i="13" a="1"/>
  <c r="F546" i="13" s="1"/>
  <c r="J546" i="13" s="1"/>
  <c r="K546" i="13" s="1"/>
  <c r="C546" i="13" a="1"/>
  <c r="C546" i="13" s="1"/>
  <c r="B546" i="13"/>
  <c r="B546" i="13" a="1"/>
  <c r="J545" i="13"/>
  <c r="K545" i="13" s="1"/>
  <c r="F545" i="13"/>
  <c r="C545" i="13"/>
  <c r="F544" i="13"/>
  <c r="J544" i="13" s="1"/>
  <c r="K544" i="13" s="1"/>
  <c r="C544" i="13"/>
  <c r="C544" i="13" a="1"/>
  <c r="B544" i="13"/>
  <c r="J543" i="13"/>
  <c r="K543" i="13" s="1"/>
  <c r="F543" i="13"/>
  <c r="C543" i="13" a="1"/>
  <c r="C543" i="13" s="1"/>
  <c r="F542" i="13"/>
  <c r="J542" i="13" s="1"/>
  <c r="K542" i="13" s="1"/>
  <c r="C542" i="13"/>
  <c r="F541" i="13"/>
  <c r="J541" i="13" s="1"/>
  <c r="K541" i="13" s="1"/>
  <c r="C541" i="13" a="1"/>
  <c r="C541" i="13" s="1"/>
  <c r="J540" i="13"/>
  <c r="K540" i="13" s="1"/>
  <c r="F540" i="13"/>
  <c r="C540" i="13"/>
  <c r="C540" i="13" a="1"/>
  <c r="J539" i="13"/>
  <c r="K539" i="13" s="1"/>
  <c r="F539" i="13"/>
  <c r="C539" i="13" a="1"/>
  <c r="C539" i="13" s="1"/>
  <c r="B539" i="13"/>
  <c r="F537" i="13"/>
  <c r="C537" i="13"/>
  <c r="B535" i="13"/>
  <c r="D533" i="13" a="1"/>
  <c r="D533" i="13" s="1"/>
  <c r="E532" i="13" s="1"/>
  <c r="D531" i="13"/>
  <c r="D529" i="13"/>
  <c r="D528" i="13" a="1"/>
  <c r="D528" i="13" s="1"/>
  <c r="D530" i="13" s="1"/>
  <c r="D527" i="13"/>
  <c r="J526" i="13"/>
  <c r="K526" i="13" s="1"/>
  <c r="H526" i="13" a="1"/>
  <c r="H526" i="13" s="1"/>
  <c r="G526" i="13" a="1"/>
  <c r="G526" i="13" s="1"/>
  <c r="F526" i="13"/>
  <c r="J527" i="13" s="1"/>
  <c r="J528" i="13" s="1"/>
  <c r="K528" i="13" s="1"/>
  <c r="F526" i="13" a="1"/>
  <c r="K525" i="13"/>
  <c r="I525" i="13"/>
  <c r="H525" i="13" a="1"/>
  <c r="H525" i="13" s="1"/>
  <c r="K524" i="13"/>
  <c r="I524" i="13"/>
  <c r="H524" i="13" a="1"/>
  <c r="H524" i="13" s="1"/>
  <c r="B524" i="13"/>
  <c r="B524" i="13" a="1"/>
  <c r="K523" i="13"/>
  <c r="I523" i="13"/>
  <c r="H523" i="13" a="1"/>
  <c r="H523" i="13" s="1"/>
  <c r="K522" i="13"/>
  <c r="I522" i="13"/>
  <c r="H522" i="13"/>
  <c r="H522" i="13" a="1"/>
  <c r="B522" i="13"/>
  <c r="K521" i="13"/>
  <c r="I521" i="13"/>
  <c r="H521" i="13" a="1"/>
  <c r="H521" i="13" s="1"/>
  <c r="K520" i="13"/>
  <c r="I520" i="13"/>
  <c r="H520" i="13"/>
  <c r="H520" i="13" a="1"/>
  <c r="K519" i="13"/>
  <c r="I519" i="13"/>
  <c r="H519" i="13" a="1"/>
  <c r="H519" i="13" s="1"/>
  <c r="K518" i="13"/>
  <c r="I518" i="13"/>
  <c r="H518" i="13"/>
  <c r="H518" i="13" a="1"/>
  <c r="K517" i="13"/>
  <c r="I517" i="13"/>
  <c r="H517" i="13" a="1"/>
  <c r="H517" i="13" s="1"/>
  <c r="I508" i="13"/>
  <c r="B508" i="13"/>
  <c r="F508" i="13" s="1"/>
  <c r="J508" i="13" s="1"/>
  <c r="K508" i="13" s="1"/>
  <c r="K507" i="13"/>
  <c r="J507" i="13"/>
  <c r="I507" i="13"/>
  <c r="F507" i="13"/>
  <c r="C507" i="13" a="1"/>
  <c r="C507" i="13" s="1"/>
  <c r="B507" i="13"/>
  <c r="J506" i="13"/>
  <c r="K506" i="13" s="1"/>
  <c r="I506" i="13"/>
  <c r="F506" i="13"/>
  <c r="C506" i="13"/>
  <c r="B506" i="13"/>
  <c r="J505" i="13" a="1"/>
  <c r="J505" i="13" s="1"/>
  <c r="K505" i="13" s="1"/>
  <c r="I505" i="13"/>
  <c r="I505" i="13" a="1"/>
  <c r="F505" i="13"/>
  <c r="F505" i="13" a="1"/>
  <c r="C505" i="13" a="1"/>
  <c r="C505" i="13" s="1"/>
  <c r="B505" i="13" a="1"/>
  <c r="B505" i="13" s="1"/>
  <c r="J504" i="13"/>
  <c r="K504" i="13" s="1"/>
  <c r="J504" i="13" a="1"/>
  <c r="I504" i="13"/>
  <c r="I504" i="13" a="1"/>
  <c r="F504" i="13"/>
  <c r="F504" i="13" a="1"/>
  <c r="C504" i="13" a="1"/>
  <c r="C504" i="13" s="1"/>
  <c r="B504" i="13" a="1"/>
  <c r="B504" i="13" s="1"/>
  <c r="F503" i="13"/>
  <c r="J503" i="13" s="1"/>
  <c r="K503" i="13" s="1"/>
  <c r="C503" i="13" a="1"/>
  <c r="C503" i="13" s="1"/>
  <c r="B503" i="13"/>
  <c r="I503" i="13" s="1"/>
  <c r="F502" i="13"/>
  <c r="J502" i="13" s="1"/>
  <c r="K502" i="13" s="1"/>
  <c r="C502" i="13" a="1"/>
  <c r="C502" i="13" s="1"/>
  <c r="B502" i="13" a="1"/>
  <c r="B502" i="13" s="1"/>
  <c r="I502" i="13" s="1"/>
  <c r="C501" i="13"/>
  <c r="F500" i="13"/>
  <c r="C500" i="13"/>
  <c r="J499" i="13"/>
  <c r="K499" i="13" s="1"/>
  <c r="C499" i="13"/>
  <c r="J498" i="13"/>
  <c r="K498" i="13" s="1"/>
  <c r="F498" i="13"/>
  <c r="C498" i="13" a="1"/>
  <c r="C498" i="13" s="1"/>
  <c r="K497" i="13"/>
  <c r="J497" i="13"/>
  <c r="C497" i="13"/>
  <c r="C497" i="13" a="1"/>
  <c r="K496" i="13"/>
  <c r="F496" i="13"/>
  <c r="J496" i="13" s="1"/>
  <c r="C496" i="13" a="1"/>
  <c r="C496" i="13" s="1"/>
  <c r="I495" i="13" a="1"/>
  <c r="I495" i="13" s="1"/>
  <c r="F495" i="13" a="1"/>
  <c r="F495" i="13" s="1"/>
  <c r="J495" i="13" s="1"/>
  <c r="K495" i="13" s="1"/>
  <c r="C495" i="13"/>
  <c r="C495" i="13" a="1"/>
  <c r="B495" i="13" a="1"/>
  <c r="B495" i="13" s="1"/>
  <c r="J494" i="13"/>
  <c r="K494" i="13" s="1"/>
  <c r="F494" i="13"/>
  <c r="C494" i="13"/>
  <c r="K493" i="13"/>
  <c r="J493" i="13"/>
  <c r="F493" i="13"/>
  <c r="C493" i="13"/>
  <c r="C493" i="13" a="1"/>
  <c r="B493" i="13"/>
  <c r="F492" i="13"/>
  <c r="J492" i="13" s="1"/>
  <c r="K492" i="13" s="1"/>
  <c r="C492" i="13"/>
  <c r="C492" i="13" a="1"/>
  <c r="F491" i="13"/>
  <c r="J491" i="13" s="1"/>
  <c r="K491" i="13" s="1"/>
  <c r="C491" i="13"/>
  <c r="J490" i="13"/>
  <c r="K490" i="13" s="1"/>
  <c r="F490" i="13"/>
  <c r="C490" i="13"/>
  <c r="C490" i="13" a="1"/>
  <c r="J489" i="13"/>
  <c r="K489" i="13" s="1"/>
  <c r="F489" i="13"/>
  <c r="C489" i="13" a="1"/>
  <c r="C489" i="13" s="1"/>
  <c r="K488" i="13"/>
  <c r="J488" i="13"/>
  <c r="F488" i="13"/>
  <c r="C488" i="13" a="1"/>
  <c r="C488" i="13" s="1"/>
  <c r="B488" i="13"/>
  <c r="F486" i="13"/>
  <c r="C486" i="13"/>
  <c r="B484" i="13"/>
  <c r="D482" i="13" a="1"/>
  <c r="D482" i="13" s="1"/>
  <c r="E481" i="13" s="1"/>
  <c r="D480" i="13"/>
  <c r="D478" i="13"/>
  <c r="D477" i="13" a="1"/>
  <c r="D477" i="13" s="1"/>
  <c r="D476" i="13"/>
  <c r="J500" i="13" s="1"/>
  <c r="K500" i="13" s="1"/>
  <c r="G475" i="13"/>
  <c r="G475" i="13" a="1"/>
  <c r="F475" i="13" a="1"/>
  <c r="F475" i="13" s="1"/>
  <c r="K474" i="13"/>
  <c r="I474" i="13"/>
  <c r="H474" i="13" a="1"/>
  <c r="H474" i="13" s="1"/>
  <c r="K473" i="13"/>
  <c r="I473" i="13"/>
  <c r="H473" i="13"/>
  <c r="H473" i="13" a="1"/>
  <c r="B473" i="13"/>
  <c r="B473" i="13" a="1"/>
  <c r="K472" i="13"/>
  <c r="I472" i="13"/>
  <c r="H472" i="13" a="1"/>
  <c r="H472" i="13" s="1"/>
  <c r="K471" i="13"/>
  <c r="I471" i="13"/>
  <c r="H471" i="13"/>
  <c r="H471" i="13" a="1"/>
  <c r="B471" i="13"/>
  <c r="K470" i="13"/>
  <c r="I470" i="13"/>
  <c r="H470" i="13"/>
  <c r="H470" i="13" a="1"/>
  <c r="K469" i="13"/>
  <c r="I469" i="13"/>
  <c r="H469" i="13"/>
  <c r="H469" i="13" a="1"/>
  <c r="K468" i="13"/>
  <c r="I468" i="13"/>
  <c r="H468" i="13"/>
  <c r="H475" i="13" s="1" a="1"/>
  <c r="H475" i="13" s="1"/>
  <c r="H468" i="13" a="1"/>
  <c r="K467" i="13"/>
  <c r="I467" i="13"/>
  <c r="H467" i="13"/>
  <c r="H467" i="13" a="1"/>
  <c r="K466" i="13"/>
  <c r="I466" i="13"/>
  <c r="H466" i="13"/>
  <c r="H466" i="13" a="1"/>
  <c r="J459" i="13"/>
  <c r="K459" i="13" s="1"/>
  <c r="B457" i="13"/>
  <c r="I457" i="13" s="1"/>
  <c r="K456" i="13"/>
  <c r="J456" i="13"/>
  <c r="I456" i="13"/>
  <c r="F456" i="13"/>
  <c r="B456" i="13"/>
  <c r="K455" i="13"/>
  <c r="J455" i="13"/>
  <c r="I455" i="13"/>
  <c r="F455" i="13"/>
  <c r="C455" i="13"/>
  <c r="B455" i="13"/>
  <c r="C456" i="13" s="1" a="1"/>
  <c r="C456" i="13" s="1"/>
  <c r="J454" i="13" a="1"/>
  <c r="J454" i="13" s="1"/>
  <c r="K454" i="13" s="1"/>
  <c r="I454" i="13"/>
  <c r="I454" i="13" a="1"/>
  <c r="F454" i="13"/>
  <c r="F454" i="13" a="1"/>
  <c r="C454" i="13"/>
  <c r="C454" i="13" a="1"/>
  <c r="B454" i="13" a="1"/>
  <c r="B454" i="13" s="1"/>
  <c r="J453" i="13" a="1"/>
  <c r="J453" i="13" s="1"/>
  <c r="K453" i="13" s="1"/>
  <c r="I453" i="13"/>
  <c r="I453" i="13" a="1"/>
  <c r="F453" i="13" a="1"/>
  <c r="F453" i="13" s="1"/>
  <c r="C453" i="13"/>
  <c r="C453" i="13" a="1"/>
  <c r="B453" i="13" a="1"/>
  <c r="B453" i="13" s="1"/>
  <c r="K452" i="13"/>
  <c r="J452" i="13"/>
  <c r="F452" i="13"/>
  <c r="C452" i="13"/>
  <c r="C452" i="13" a="1"/>
  <c r="B452" i="13"/>
  <c r="I452" i="13" s="1"/>
  <c r="K451" i="13"/>
  <c r="J451" i="13"/>
  <c r="F451" i="13"/>
  <c r="C451" i="13" a="1"/>
  <c r="C451" i="13" s="1"/>
  <c r="B451" i="13"/>
  <c r="I451" i="13" s="1"/>
  <c r="B451" i="13" a="1"/>
  <c r="C450" i="13"/>
  <c r="F449" i="13"/>
  <c r="C449" i="13"/>
  <c r="C448" i="13"/>
  <c r="F447" i="13"/>
  <c r="J447" i="13" s="1"/>
  <c r="K447" i="13" s="1"/>
  <c r="C447" i="13"/>
  <c r="C447" i="13" a="1"/>
  <c r="J446" i="13"/>
  <c r="K446" i="13" s="1"/>
  <c r="C446" i="13"/>
  <c r="C446" i="13" a="1"/>
  <c r="F445" i="13"/>
  <c r="J445" i="13" s="1"/>
  <c r="K445" i="13" s="1"/>
  <c r="C445" i="13"/>
  <c r="C445" i="13" a="1"/>
  <c r="I444" i="13"/>
  <c r="I444" i="13" a="1"/>
  <c r="F444" i="13" a="1"/>
  <c r="F444" i="13" s="1"/>
  <c r="J444" i="13" s="1"/>
  <c r="K444" i="13" s="1"/>
  <c r="C444" i="13"/>
  <c r="C444" i="13" a="1"/>
  <c r="B444" i="13"/>
  <c r="B444" i="13" a="1"/>
  <c r="F443" i="13"/>
  <c r="J443" i="13" s="1"/>
  <c r="K443" i="13" s="1"/>
  <c r="C443" i="13"/>
  <c r="F442" i="13"/>
  <c r="J442" i="13" s="1"/>
  <c r="K442" i="13" s="1"/>
  <c r="C442" i="13"/>
  <c r="C442" i="13" a="1"/>
  <c r="B442" i="13"/>
  <c r="J441" i="13"/>
  <c r="K441" i="13" s="1"/>
  <c r="F441" i="13"/>
  <c r="C441" i="13" a="1"/>
  <c r="C441" i="13" s="1"/>
  <c r="K440" i="13"/>
  <c r="J440" i="13"/>
  <c r="F440" i="13"/>
  <c r="C440" i="13"/>
  <c r="K439" i="13"/>
  <c r="J439" i="13"/>
  <c r="F439" i="13"/>
  <c r="C439" i="13"/>
  <c r="C439" i="13" a="1"/>
  <c r="F438" i="13"/>
  <c r="J438" i="13" s="1"/>
  <c r="K438" i="13" s="1"/>
  <c r="C438" i="13"/>
  <c r="C438" i="13" a="1"/>
  <c r="J437" i="13"/>
  <c r="K437" i="13" s="1"/>
  <c r="F437" i="13"/>
  <c r="C437" i="13"/>
  <c r="C437" i="13" a="1"/>
  <c r="B437" i="13"/>
  <c r="F435" i="13"/>
  <c r="C435" i="13"/>
  <c r="B433" i="13"/>
  <c r="D431" i="13" a="1"/>
  <c r="D431" i="13" s="1"/>
  <c r="E430" i="13" s="1"/>
  <c r="D429" i="13"/>
  <c r="D427" i="13"/>
  <c r="D426" i="13" a="1"/>
  <c r="D426" i="13" s="1"/>
  <c r="D425" i="13"/>
  <c r="J449" i="13" s="1"/>
  <c r="K449" i="13" s="1"/>
  <c r="K424" i="13"/>
  <c r="J424" i="13"/>
  <c r="G424" i="13"/>
  <c r="G424" i="13" a="1"/>
  <c r="F424" i="13"/>
  <c r="I424" i="13" s="1"/>
  <c r="F424" i="13" a="1"/>
  <c r="K423" i="13"/>
  <c r="I423" i="13"/>
  <c r="H423" i="13" a="1"/>
  <c r="H423" i="13" s="1"/>
  <c r="K422" i="13"/>
  <c r="I422" i="13"/>
  <c r="H422" i="13"/>
  <c r="H422" i="13" a="1"/>
  <c r="B422" i="13"/>
  <c r="B422" i="13" a="1"/>
  <c r="K421" i="13"/>
  <c r="I421" i="13"/>
  <c r="H421" i="13"/>
  <c r="H421" i="13" a="1"/>
  <c r="K420" i="13"/>
  <c r="I420" i="13"/>
  <c r="H420" i="13"/>
  <c r="H420" i="13" a="1"/>
  <c r="B420" i="13"/>
  <c r="K419" i="13"/>
  <c r="I419" i="13"/>
  <c r="H419" i="13" a="1"/>
  <c r="H419" i="13" s="1"/>
  <c r="K418" i="13"/>
  <c r="I418" i="13"/>
  <c r="H418" i="13" a="1"/>
  <c r="H418" i="13" s="1"/>
  <c r="K417" i="13"/>
  <c r="I417" i="13"/>
  <c r="H417" i="13" a="1"/>
  <c r="H417" i="13" s="1"/>
  <c r="H424" i="13" s="1" a="1"/>
  <c r="H424" i="13" s="1"/>
  <c r="K416" i="13"/>
  <c r="K425" i="13" s="1"/>
  <c r="I416" i="13"/>
  <c r="H416" i="13" a="1"/>
  <c r="H416" i="13" s="1"/>
  <c r="K415" i="13"/>
  <c r="I415" i="13"/>
  <c r="H415" i="13" a="1"/>
  <c r="H415" i="13" s="1"/>
  <c r="I406" i="13"/>
  <c r="F406" i="13"/>
  <c r="J406" i="13" s="1"/>
  <c r="K406" i="13" s="1"/>
  <c r="B406" i="13"/>
  <c r="K405" i="13"/>
  <c r="J405" i="13"/>
  <c r="C405" i="13" a="1"/>
  <c r="C405" i="13" s="1"/>
  <c r="B405" i="13"/>
  <c r="F405" i="13" s="1"/>
  <c r="J404" i="13"/>
  <c r="K404" i="13" s="1"/>
  <c r="I404" i="13"/>
  <c r="F404" i="13"/>
  <c r="B404" i="13"/>
  <c r="C404" i="13" s="1"/>
  <c r="K403" i="13"/>
  <c r="J403" i="13"/>
  <c r="J403" i="13" a="1"/>
  <c r="I403" i="13"/>
  <c r="I403" i="13" a="1"/>
  <c r="F403" i="13"/>
  <c r="F403" i="13" a="1"/>
  <c r="C403" i="13" a="1"/>
  <c r="C403" i="13" s="1"/>
  <c r="B403" i="13"/>
  <c r="B403" i="13" a="1"/>
  <c r="K402" i="13"/>
  <c r="J402" i="13"/>
  <c r="J402" i="13" a="1"/>
  <c r="I402" i="13" a="1"/>
  <c r="I402" i="13" s="1"/>
  <c r="F402" i="13"/>
  <c r="F402" i="13" a="1"/>
  <c r="C402" i="13" a="1"/>
  <c r="C402" i="13" s="1"/>
  <c r="B402" i="13"/>
  <c r="B402" i="13" a="1"/>
  <c r="I401" i="13"/>
  <c r="F401" i="13"/>
  <c r="J401" i="13" s="1"/>
  <c r="K401" i="13" s="1"/>
  <c r="C401" i="13" a="1"/>
  <c r="C401" i="13" s="1"/>
  <c r="B401" i="13"/>
  <c r="F400" i="13"/>
  <c r="J400" i="13" s="1"/>
  <c r="K400" i="13" s="1"/>
  <c r="C400" i="13"/>
  <c r="C400" i="13" a="1"/>
  <c r="B400" i="13"/>
  <c r="I400" i="13" s="1"/>
  <c r="B400" i="13" a="1"/>
  <c r="C399" i="13"/>
  <c r="F398" i="13"/>
  <c r="C398" i="13"/>
  <c r="C397" i="13"/>
  <c r="J396" i="13"/>
  <c r="K396" i="13" s="1"/>
  <c r="F396" i="13"/>
  <c r="C396" i="13" a="1"/>
  <c r="C396" i="13" s="1"/>
  <c r="K395" i="13"/>
  <c r="J395" i="13"/>
  <c r="J397" i="13" s="1"/>
  <c r="K397" i="13" s="1"/>
  <c r="C395" i="13" a="1"/>
  <c r="C395" i="13" s="1"/>
  <c r="F394" i="13"/>
  <c r="J394" i="13" s="1"/>
  <c r="K394" i="13" s="1"/>
  <c r="C394" i="13"/>
  <c r="C394" i="13" a="1"/>
  <c r="I393" i="13" a="1"/>
  <c r="I393" i="13" s="1"/>
  <c r="F393" i="13" a="1"/>
  <c r="F393" i="13" s="1"/>
  <c r="J393" i="13" s="1"/>
  <c r="K393" i="13" s="1"/>
  <c r="C393" i="13"/>
  <c r="C393" i="13" a="1"/>
  <c r="B393" i="13"/>
  <c r="B393" i="13" a="1"/>
  <c r="J392" i="13"/>
  <c r="K392" i="13" s="1"/>
  <c r="F392" i="13"/>
  <c r="C392" i="13"/>
  <c r="K391" i="13"/>
  <c r="J391" i="13"/>
  <c r="F391" i="13"/>
  <c r="C391" i="13" a="1"/>
  <c r="C391" i="13" s="1"/>
  <c r="B391" i="13"/>
  <c r="F390" i="13"/>
  <c r="J390" i="13" s="1"/>
  <c r="K390" i="13" s="1"/>
  <c r="C390" i="13"/>
  <c r="C390" i="13" a="1"/>
  <c r="F389" i="13"/>
  <c r="J389" i="13" s="1"/>
  <c r="K389" i="13" s="1"/>
  <c r="C389" i="13"/>
  <c r="J388" i="13"/>
  <c r="K388" i="13" s="1"/>
  <c r="F388" i="13"/>
  <c r="C388" i="13"/>
  <c r="C388" i="13" a="1"/>
  <c r="J387" i="13"/>
  <c r="K387" i="13" s="1"/>
  <c r="F387" i="13"/>
  <c r="C387" i="13" a="1"/>
  <c r="C387" i="13" s="1"/>
  <c r="K386" i="13"/>
  <c r="J386" i="13"/>
  <c r="F386" i="13"/>
  <c r="C386" i="13" a="1"/>
  <c r="C386" i="13" s="1"/>
  <c r="B386" i="13"/>
  <c r="F384" i="13"/>
  <c r="C384" i="13"/>
  <c r="B382" i="13"/>
  <c r="D380" i="13" a="1"/>
  <c r="D380" i="13" s="1"/>
  <c r="E379" i="13" s="1"/>
  <c r="D378" i="13"/>
  <c r="J373" i="13" s="1"/>
  <c r="D376" i="13"/>
  <c r="D375" i="13" a="1"/>
  <c r="D375" i="13" s="1"/>
  <c r="J398" i="13" s="1"/>
  <c r="K398" i="13" s="1"/>
  <c r="D374" i="13"/>
  <c r="I373" i="13"/>
  <c r="G373" i="13"/>
  <c r="G373" i="13" a="1"/>
  <c r="F373" i="13"/>
  <c r="F373" i="13" a="1"/>
  <c r="K372" i="13"/>
  <c r="I372" i="13"/>
  <c r="H372" i="13" a="1"/>
  <c r="H372" i="13" s="1"/>
  <c r="K371" i="13"/>
  <c r="I371" i="13"/>
  <c r="H371" i="13"/>
  <c r="H371" i="13" a="1"/>
  <c r="B371" i="13" a="1"/>
  <c r="B371" i="13" s="1"/>
  <c r="K370" i="13"/>
  <c r="I370" i="13"/>
  <c r="H370" i="13"/>
  <c r="H370" i="13" a="1"/>
  <c r="K369" i="13"/>
  <c r="I369" i="13"/>
  <c r="H369" i="13" a="1"/>
  <c r="H369" i="13" s="1"/>
  <c r="B369" i="13"/>
  <c r="K368" i="13"/>
  <c r="I368" i="13"/>
  <c r="H368" i="13"/>
  <c r="H368" i="13" a="1"/>
  <c r="K367" i="13"/>
  <c r="I367" i="13"/>
  <c r="H367" i="13"/>
  <c r="H367" i="13" a="1"/>
  <c r="K366" i="13"/>
  <c r="I366" i="13"/>
  <c r="H366" i="13"/>
  <c r="H373" i="13" s="1" a="1"/>
  <c r="H373" i="13" s="1"/>
  <c r="H366" i="13" a="1"/>
  <c r="K365" i="13"/>
  <c r="I365" i="13"/>
  <c r="H365" i="13"/>
  <c r="H365" i="13" a="1"/>
  <c r="K364" i="13"/>
  <c r="I364" i="13"/>
  <c r="H364" i="13"/>
  <c r="H364" i="13" a="1"/>
  <c r="F355" i="13"/>
  <c r="J355" i="13" s="1"/>
  <c r="K355" i="13" s="1"/>
  <c r="B355" i="13"/>
  <c r="I355" i="13" s="1"/>
  <c r="F354" i="13"/>
  <c r="C354" i="13" a="1"/>
  <c r="C354" i="13" s="1"/>
  <c r="B354" i="13"/>
  <c r="J354" i="13" s="1"/>
  <c r="K354" i="13" s="1"/>
  <c r="C353" i="13"/>
  <c r="B353" i="13"/>
  <c r="I353" i="13" s="1"/>
  <c r="J352" i="13"/>
  <c r="K352" i="13" s="1"/>
  <c r="J352" i="13" a="1"/>
  <c r="I352" i="13"/>
  <c r="I352" i="13" a="1"/>
  <c r="F352" i="13" a="1"/>
  <c r="F352" i="13" s="1"/>
  <c r="C352" i="13" a="1"/>
  <c r="C352" i="13" s="1"/>
  <c r="B352" i="13"/>
  <c r="B352" i="13" a="1"/>
  <c r="J351" i="13" a="1"/>
  <c r="J351" i="13" s="1"/>
  <c r="K351" i="13" s="1"/>
  <c r="I351" i="13"/>
  <c r="I351" i="13" a="1"/>
  <c r="F351" i="13" a="1"/>
  <c r="F351" i="13" s="1"/>
  <c r="C351" i="13"/>
  <c r="C351" i="13" a="1"/>
  <c r="B351" i="13" a="1"/>
  <c r="B351" i="13" s="1"/>
  <c r="I350" i="13"/>
  <c r="F350" i="13"/>
  <c r="J350" i="13" s="1"/>
  <c r="K350" i="13" s="1"/>
  <c r="C350" i="13"/>
  <c r="C350" i="13" a="1"/>
  <c r="B350" i="13"/>
  <c r="J349" i="13"/>
  <c r="K349" i="13" s="1"/>
  <c r="I349" i="13"/>
  <c r="F349" i="13"/>
  <c r="C349" i="13"/>
  <c r="C349" i="13" a="1"/>
  <c r="B349" i="13"/>
  <c r="B349" i="13" a="1"/>
  <c r="C348" i="13"/>
  <c r="F347" i="13"/>
  <c r="C347" i="13"/>
  <c r="C346" i="13"/>
  <c r="F345" i="13"/>
  <c r="J345" i="13" s="1"/>
  <c r="K345" i="13" s="1"/>
  <c r="C345" i="13"/>
  <c r="C345" i="13" a="1"/>
  <c r="J344" i="13"/>
  <c r="K344" i="13" s="1"/>
  <c r="C344" i="13"/>
  <c r="C344" i="13" a="1"/>
  <c r="F343" i="13"/>
  <c r="J343" i="13" s="1"/>
  <c r="K343" i="13" s="1"/>
  <c r="C343" i="13"/>
  <c r="C343" i="13" a="1"/>
  <c r="I342" i="13" a="1"/>
  <c r="I342" i="13" s="1"/>
  <c r="F342" i="13" a="1"/>
  <c r="F342" i="13" s="1"/>
  <c r="J342" i="13" s="1"/>
  <c r="K342" i="13" s="1"/>
  <c r="C342" i="13"/>
  <c r="C342" i="13" a="1"/>
  <c r="B342" i="13" a="1"/>
  <c r="B342" i="13" s="1"/>
  <c r="F341" i="13"/>
  <c r="J341" i="13" s="1"/>
  <c r="K341" i="13" s="1"/>
  <c r="C341" i="13"/>
  <c r="K340" i="13"/>
  <c r="J340" i="13"/>
  <c r="F340" i="13"/>
  <c r="C340" i="13"/>
  <c r="C340" i="13" a="1"/>
  <c r="B340" i="13"/>
  <c r="J339" i="13"/>
  <c r="K339" i="13" s="1"/>
  <c r="F339" i="13"/>
  <c r="C339" i="13"/>
  <c r="C339" i="13" a="1"/>
  <c r="F338" i="13"/>
  <c r="J338" i="13" s="1"/>
  <c r="K338" i="13" s="1"/>
  <c r="C338" i="13"/>
  <c r="K337" i="13"/>
  <c r="J337" i="13"/>
  <c r="F337" i="13"/>
  <c r="C337" i="13" a="1"/>
  <c r="C337" i="13" s="1"/>
  <c r="F336" i="13"/>
  <c r="J336" i="13" s="1"/>
  <c r="K336" i="13" s="1"/>
  <c r="C336" i="13"/>
  <c r="C336" i="13" a="1"/>
  <c r="F335" i="13"/>
  <c r="J335" i="13" s="1"/>
  <c r="K335" i="13" s="1"/>
  <c r="C335" i="13" a="1"/>
  <c r="C335" i="13" s="1"/>
  <c r="B335" i="13"/>
  <c r="F333" i="13"/>
  <c r="C333" i="13"/>
  <c r="B331" i="13"/>
  <c r="D329" i="13" a="1"/>
  <c r="D329" i="13" s="1"/>
  <c r="E328" i="13" s="1"/>
  <c r="D327" i="13"/>
  <c r="J357" i="13" s="1"/>
  <c r="K357" i="13" s="1"/>
  <c r="D325" i="13"/>
  <c r="D324" i="13" a="1"/>
  <c r="D324" i="13" s="1"/>
  <c r="J347" i="13" s="1"/>
  <c r="K347" i="13" s="1"/>
  <c r="D323" i="13"/>
  <c r="D326" i="13" s="1"/>
  <c r="K322" i="13"/>
  <c r="J322" i="13"/>
  <c r="H322" i="13" a="1"/>
  <c r="H322" i="13" s="1"/>
  <c r="G322" i="13"/>
  <c r="G322" i="13" a="1"/>
  <c r="F322" i="13" a="1"/>
  <c r="F322" i="13" s="1"/>
  <c r="K321" i="13"/>
  <c r="I321" i="13"/>
  <c r="H321" i="13" a="1"/>
  <c r="H321" i="13" s="1"/>
  <c r="K320" i="13"/>
  <c r="I320" i="13"/>
  <c r="H320" i="13" a="1"/>
  <c r="H320" i="13" s="1"/>
  <c r="B320" i="13" a="1"/>
  <c r="B320" i="13" s="1"/>
  <c r="K319" i="13"/>
  <c r="I319" i="13"/>
  <c r="H319" i="13"/>
  <c r="H319" i="13" a="1"/>
  <c r="K318" i="13"/>
  <c r="I318" i="13"/>
  <c r="H318" i="13" a="1"/>
  <c r="H318" i="13" s="1"/>
  <c r="B318" i="13"/>
  <c r="K317" i="13"/>
  <c r="I317" i="13"/>
  <c r="H317" i="13"/>
  <c r="H317" i="13" a="1"/>
  <c r="K316" i="13"/>
  <c r="I316" i="13"/>
  <c r="H316" i="13" a="1"/>
  <c r="H316" i="13" s="1"/>
  <c r="K315" i="13"/>
  <c r="I315" i="13"/>
  <c r="H315" i="13"/>
  <c r="H315" i="13" a="1"/>
  <c r="K314" i="13"/>
  <c r="K323" i="13" s="1"/>
  <c r="I314" i="13"/>
  <c r="H314" i="13" a="1"/>
  <c r="H314" i="13" s="1"/>
  <c r="K313" i="13"/>
  <c r="I313" i="13"/>
  <c r="H313" i="13"/>
  <c r="H313" i="13" a="1"/>
  <c r="J304" i="13"/>
  <c r="K304" i="13" s="1"/>
  <c r="I304" i="13"/>
  <c r="F304" i="13"/>
  <c r="B304" i="13"/>
  <c r="J303" i="13"/>
  <c r="K303" i="13" s="1"/>
  <c r="I303" i="13"/>
  <c r="F303" i="13"/>
  <c r="C303" i="13" a="1"/>
  <c r="C303" i="13" s="1"/>
  <c r="B303" i="13"/>
  <c r="I302" i="13"/>
  <c r="B302" i="13"/>
  <c r="J302" i="13" s="1"/>
  <c r="K302" i="13" s="1"/>
  <c r="K301" i="13"/>
  <c r="J301" i="13"/>
  <c r="J301" i="13" a="1"/>
  <c r="I301" i="13" a="1"/>
  <c r="I301" i="13" s="1"/>
  <c r="F301" i="13" a="1"/>
  <c r="F301" i="13" s="1"/>
  <c r="C301" i="13" a="1"/>
  <c r="C301" i="13" s="1"/>
  <c r="B301" i="13"/>
  <c r="B301" i="13" a="1"/>
  <c r="J300" i="13"/>
  <c r="K300" i="13" s="1"/>
  <c r="J300" i="13" a="1"/>
  <c r="I300" i="13" a="1"/>
  <c r="I300" i="13" s="1"/>
  <c r="F300" i="13"/>
  <c r="F300" i="13" a="1"/>
  <c r="C300" i="13"/>
  <c r="C300" i="13" a="1"/>
  <c r="B300" i="13"/>
  <c r="B300" i="13" a="1"/>
  <c r="J299" i="13"/>
  <c r="K299" i="13" s="1"/>
  <c r="I299" i="13"/>
  <c r="F299" i="13"/>
  <c r="C299" i="13"/>
  <c r="C299" i="13" a="1"/>
  <c r="B299" i="13"/>
  <c r="F298" i="13"/>
  <c r="J298" i="13" s="1"/>
  <c r="K298" i="13" s="1"/>
  <c r="C298" i="13" a="1"/>
  <c r="C298" i="13" s="1"/>
  <c r="B298" i="13" a="1"/>
  <c r="B298" i="13" s="1"/>
  <c r="I298" i="13" s="1"/>
  <c r="C297" i="13"/>
  <c r="F296" i="13"/>
  <c r="C296" i="13"/>
  <c r="C295" i="13"/>
  <c r="J294" i="13"/>
  <c r="K294" i="13" s="1"/>
  <c r="F294" i="13"/>
  <c r="C294" i="13"/>
  <c r="C294" i="13" a="1"/>
  <c r="K293" i="13"/>
  <c r="J293" i="13"/>
  <c r="J295" i="13" s="1"/>
  <c r="K295" i="13" s="1"/>
  <c r="C293" i="13" a="1"/>
  <c r="C293" i="13" s="1"/>
  <c r="F292" i="13"/>
  <c r="J292" i="13" s="1"/>
  <c r="K292" i="13" s="1"/>
  <c r="C292" i="13" a="1"/>
  <c r="C292" i="13" s="1"/>
  <c r="I291" i="13" a="1"/>
  <c r="I291" i="13" s="1"/>
  <c r="F291" i="13" a="1"/>
  <c r="F291" i="13" s="1"/>
  <c r="J291" i="13" s="1"/>
  <c r="K291" i="13" s="1"/>
  <c r="C291" i="13" a="1"/>
  <c r="C291" i="13" s="1"/>
  <c r="B291" i="13" a="1"/>
  <c r="B291" i="13" s="1"/>
  <c r="J290" i="13"/>
  <c r="K290" i="13" s="1"/>
  <c r="F290" i="13"/>
  <c r="C290" i="13"/>
  <c r="J289" i="13"/>
  <c r="K289" i="13" s="1"/>
  <c r="F289" i="13"/>
  <c r="C289" i="13" a="1"/>
  <c r="C289" i="13" s="1"/>
  <c r="B289" i="13"/>
  <c r="J288" i="13"/>
  <c r="K288" i="13" s="1"/>
  <c r="F288" i="13"/>
  <c r="C288" i="13"/>
  <c r="C288" i="13" a="1"/>
  <c r="F287" i="13"/>
  <c r="J287" i="13" s="1"/>
  <c r="K287" i="13" s="1"/>
  <c r="C287" i="13"/>
  <c r="F286" i="13"/>
  <c r="J286" i="13" s="1"/>
  <c r="K286" i="13" s="1"/>
  <c r="C286" i="13" a="1"/>
  <c r="C286" i="13" s="1"/>
  <c r="J285" i="13"/>
  <c r="K285" i="13" s="1"/>
  <c r="F285" i="13"/>
  <c r="C285" i="13"/>
  <c r="C285" i="13" a="1"/>
  <c r="F284" i="13"/>
  <c r="J284" i="13" s="1"/>
  <c r="K284" i="13" s="1"/>
  <c r="C284" i="13" a="1"/>
  <c r="C284" i="13" s="1"/>
  <c r="B284" i="13"/>
  <c r="F282" i="13"/>
  <c r="C282" i="13"/>
  <c r="B280" i="13"/>
  <c r="D278" i="13" a="1"/>
  <c r="D278" i="13" s="1"/>
  <c r="E277" i="13" s="1"/>
  <c r="D276" i="13"/>
  <c r="J306" i="13" s="1"/>
  <c r="K306" i="13" s="1"/>
  <c r="D274" i="13"/>
  <c r="D273" i="13" a="1"/>
  <c r="D273" i="13" s="1"/>
  <c r="D272" i="13"/>
  <c r="G271" i="13" a="1"/>
  <c r="G271" i="13" s="1"/>
  <c r="F271" i="13" a="1"/>
  <c r="F271" i="13" s="1"/>
  <c r="K270" i="13"/>
  <c r="I270" i="13"/>
  <c r="H270" i="13" a="1"/>
  <c r="H270" i="13" s="1"/>
  <c r="K269" i="13"/>
  <c r="I269" i="13"/>
  <c r="H269" i="13" a="1"/>
  <c r="H269" i="13" s="1"/>
  <c r="B269" i="13" a="1"/>
  <c r="B269" i="13" s="1"/>
  <c r="K268" i="13"/>
  <c r="I268" i="13"/>
  <c r="H268" i="13" a="1"/>
  <c r="H268" i="13" s="1"/>
  <c r="K267" i="13"/>
  <c r="I267" i="13"/>
  <c r="H267" i="13" a="1"/>
  <c r="H267" i="13" s="1"/>
  <c r="B267" i="13"/>
  <c r="K266" i="13"/>
  <c r="I266" i="13"/>
  <c r="H266" i="13"/>
  <c r="H266" i="13" a="1"/>
  <c r="K265" i="13"/>
  <c r="I265" i="13"/>
  <c r="H265" i="13"/>
  <c r="H265" i="13" a="1"/>
  <c r="K264" i="13"/>
  <c r="I264" i="13"/>
  <c r="H264" i="13"/>
  <c r="H271" i="13" s="1" a="1"/>
  <c r="H271" i="13" s="1"/>
  <c r="H264" i="13" a="1"/>
  <c r="K263" i="13"/>
  <c r="I263" i="13"/>
  <c r="H263" i="13"/>
  <c r="H263" i="13" a="1"/>
  <c r="K262" i="13"/>
  <c r="I262" i="13"/>
  <c r="H262" i="13"/>
  <c r="H262" i="13" a="1"/>
  <c r="B253" i="13"/>
  <c r="J252" i="13"/>
  <c r="K252" i="13" s="1"/>
  <c r="I252" i="13"/>
  <c r="F252" i="13"/>
  <c r="C252" i="13" a="1"/>
  <c r="C252" i="13" s="1"/>
  <c r="B252" i="13"/>
  <c r="K251" i="13"/>
  <c r="J251" i="13"/>
  <c r="I251" i="13"/>
  <c r="F251" i="13"/>
  <c r="C251" i="13"/>
  <c r="B251" i="13"/>
  <c r="J250" i="13" a="1"/>
  <c r="J250" i="13" s="1"/>
  <c r="K250" i="13" s="1"/>
  <c r="I250" i="13" a="1"/>
  <c r="I250" i="13" s="1"/>
  <c r="F250" i="13" a="1"/>
  <c r="F250" i="13" s="1"/>
  <c r="C250" i="13" a="1"/>
  <c r="C250" i="13" s="1"/>
  <c r="B250" i="13" a="1"/>
  <c r="B250" i="13" s="1"/>
  <c r="J249" i="13" a="1"/>
  <c r="J249" i="13" s="1"/>
  <c r="K249" i="13" s="1"/>
  <c r="I249" i="13"/>
  <c r="I249" i="13" a="1"/>
  <c r="F249" i="13"/>
  <c r="F249" i="13" a="1"/>
  <c r="C249" i="13"/>
  <c r="C249" i="13" a="1"/>
  <c r="B249" i="13" a="1"/>
  <c r="B249" i="13" s="1"/>
  <c r="K248" i="13"/>
  <c r="J248" i="13"/>
  <c r="F248" i="13"/>
  <c r="C248" i="13"/>
  <c r="C248" i="13" a="1"/>
  <c r="B248" i="13"/>
  <c r="I248" i="13" s="1"/>
  <c r="J247" i="13"/>
  <c r="K247" i="13" s="1"/>
  <c r="F247" i="13"/>
  <c r="C247" i="13" a="1"/>
  <c r="C247" i="13" s="1"/>
  <c r="B247" i="13" a="1"/>
  <c r="B247" i="13" s="1"/>
  <c r="I247" i="13" s="1"/>
  <c r="C246" i="13"/>
  <c r="F245" i="13"/>
  <c r="C245" i="13"/>
  <c r="C244" i="13"/>
  <c r="J243" i="13"/>
  <c r="K243" i="13" s="1"/>
  <c r="F243" i="13"/>
  <c r="C243" i="13"/>
  <c r="C243" i="13" a="1"/>
  <c r="J242" i="13"/>
  <c r="K242" i="13" s="1"/>
  <c r="C242" i="13"/>
  <c r="C242" i="13" a="1"/>
  <c r="F241" i="13"/>
  <c r="J241" i="13" s="1"/>
  <c r="K241" i="13" s="1"/>
  <c r="C241" i="13" a="1"/>
  <c r="C241" i="13" s="1"/>
  <c r="J240" i="13"/>
  <c r="K240" i="13" s="1"/>
  <c r="I240" i="13" a="1"/>
  <c r="I240" i="13" s="1"/>
  <c r="F240" i="13" a="1"/>
  <c r="F240" i="13" s="1"/>
  <c r="C240" i="13" a="1"/>
  <c r="C240" i="13" s="1"/>
  <c r="B240" i="13" a="1"/>
  <c r="B240" i="13" s="1"/>
  <c r="J239" i="13"/>
  <c r="K239" i="13" s="1"/>
  <c r="F239" i="13"/>
  <c r="C239" i="13"/>
  <c r="F238" i="13"/>
  <c r="J238" i="13" s="1"/>
  <c r="K238" i="13" s="1"/>
  <c r="C238" i="13"/>
  <c r="C238" i="13" a="1"/>
  <c r="B238" i="13"/>
  <c r="J237" i="13"/>
  <c r="K237" i="13" s="1"/>
  <c r="F237" i="13"/>
  <c r="C237" i="13" a="1"/>
  <c r="C237" i="13" s="1"/>
  <c r="F236" i="13"/>
  <c r="J236" i="13" s="1"/>
  <c r="K236" i="13" s="1"/>
  <c r="C236" i="13"/>
  <c r="F235" i="13"/>
  <c r="J235" i="13" s="1"/>
  <c r="K235" i="13" s="1"/>
  <c r="C235" i="13" a="1"/>
  <c r="C235" i="13" s="1"/>
  <c r="J234" i="13"/>
  <c r="K234" i="13" s="1"/>
  <c r="F234" i="13"/>
  <c r="C234" i="13"/>
  <c r="C234" i="13" a="1"/>
  <c r="F233" i="13"/>
  <c r="J233" i="13" s="1"/>
  <c r="K233" i="13" s="1"/>
  <c r="C233" i="13" a="1"/>
  <c r="C233" i="13" s="1"/>
  <c r="B233" i="13"/>
  <c r="F231" i="13"/>
  <c r="C231" i="13"/>
  <c r="B229" i="13"/>
  <c r="D227" i="13" a="1"/>
  <c r="D227" i="13" s="1"/>
  <c r="E226" i="13" s="1"/>
  <c r="D225" i="13"/>
  <c r="D223" i="13"/>
  <c r="D222" i="13" a="1"/>
  <c r="D222" i="13" s="1"/>
  <c r="D221" i="13"/>
  <c r="J245" i="13" s="1"/>
  <c r="K245" i="13" s="1"/>
  <c r="G220" i="13" a="1"/>
  <c r="G220" i="13" s="1"/>
  <c r="F220" i="13" a="1"/>
  <c r="F220" i="13" s="1"/>
  <c r="K219" i="13"/>
  <c r="I219" i="13"/>
  <c r="H219" i="13" a="1"/>
  <c r="H219" i="13" s="1"/>
  <c r="K218" i="13"/>
  <c r="I218" i="13"/>
  <c r="H218" i="13" a="1"/>
  <c r="H218" i="13" s="1"/>
  <c r="B218" i="13" a="1"/>
  <c r="B218" i="13" s="1"/>
  <c r="K217" i="13"/>
  <c r="I217" i="13"/>
  <c r="H217" i="13" a="1"/>
  <c r="H217" i="13" s="1"/>
  <c r="K216" i="13"/>
  <c r="I216" i="13"/>
  <c r="H216" i="13" a="1"/>
  <c r="H216" i="13" s="1"/>
  <c r="B216" i="13"/>
  <c r="K215" i="13"/>
  <c r="I215" i="13"/>
  <c r="H215" i="13"/>
  <c r="H215" i="13" a="1"/>
  <c r="K214" i="13"/>
  <c r="I214" i="13"/>
  <c r="H214" i="13"/>
  <c r="H214" i="13" a="1"/>
  <c r="K213" i="13"/>
  <c r="I213" i="13"/>
  <c r="H213" i="13"/>
  <c r="H220" i="13" s="1" a="1"/>
  <c r="H220" i="13" s="1"/>
  <c r="H213" i="13" a="1"/>
  <c r="K212" i="13"/>
  <c r="I212" i="13"/>
  <c r="H212" i="13"/>
  <c r="H212" i="13" a="1"/>
  <c r="K211" i="13"/>
  <c r="I211" i="13"/>
  <c r="H211" i="13"/>
  <c r="H211" i="13" a="1"/>
  <c r="I202" i="13"/>
  <c r="B202" i="13"/>
  <c r="F202" i="13" s="1"/>
  <c r="J202" i="13" s="1"/>
  <c r="K202" i="13" s="1"/>
  <c r="J201" i="13"/>
  <c r="K201" i="13" s="1"/>
  <c r="C201" i="13" a="1"/>
  <c r="C201" i="13" s="1"/>
  <c r="B201" i="13"/>
  <c r="F201" i="13" s="1"/>
  <c r="J200" i="13"/>
  <c r="K200" i="13" s="1"/>
  <c r="I200" i="13"/>
  <c r="F200" i="13"/>
  <c r="C200" i="13"/>
  <c r="B200" i="13"/>
  <c r="K199" i="13"/>
  <c r="J199" i="13" a="1"/>
  <c r="J199" i="13" s="1"/>
  <c r="I199" i="13" a="1"/>
  <c r="I199" i="13" s="1"/>
  <c r="F199" i="13" a="1"/>
  <c r="F199" i="13" s="1"/>
  <c r="C199" i="13" a="1"/>
  <c r="C199" i="13" s="1"/>
  <c r="B199" i="13" a="1"/>
  <c r="B199" i="13" s="1"/>
  <c r="J198" i="13"/>
  <c r="K198" i="13" s="1"/>
  <c r="J198" i="13" a="1"/>
  <c r="I198" i="13"/>
  <c r="I198" i="13" a="1"/>
  <c r="F198" i="13"/>
  <c r="F198" i="13" a="1"/>
  <c r="C198" i="13" a="1"/>
  <c r="C198" i="13" s="1"/>
  <c r="B198" i="13"/>
  <c r="B198" i="13" a="1"/>
  <c r="F197" i="13"/>
  <c r="J197" i="13" s="1"/>
  <c r="K197" i="13" s="1"/>
  <c r="C197" i="13"/>
  <c r="C197" i="13" a="1"/>
  <c r="B197" i="13"/>
  <c r="I197" i="13" s="1"/>
  <c r="F196" i="13"/>
  <c r="J196" i="13" s="1"/>
  <c r="K196" i="13" s="1"/>
  <c r="C196" i="13" a="1"/>
  <c r="C196" i="13" s="1"/>
  <c r="B196" i="13"/>
  <c r="I196" i="13" s="1"/>
  <c r="B196" i="13" a="1"/>
  <c r="C195" i="13"/>
  <c r="F194" i="13"/>
  <c r="C194" i="13"/>
  <c r="K193" i="13"/>
  <c r="C193" i="13"/>
  <c r="J192" i="13"/>
  <c r="K192" i="13" s="1"/>
  <c r="F192" i="13"/>
  <c r="C192" i="13" a="1"/>
  <c r="C192" i="13" s="1"/>
  <c r="K191" i="13"/>
  <c r="J191" i="13"/>
  <c r="J193" i="13" s="1"/>
  <c r="C191" i="13"/>
  <c r="C191" i="13" a="1"/>
  <c r="K190" i="13"/>
  <c r="F190" i="13"/>
  <c r="J190" i="13" s="1"/>
  <c r="C190" i="13" a="1"/>
  <c r="C190" i="13" s="1"/>
  <c r="I189" i="13" a="1"/>
  <c r="I189" i="13" s="1"/>
  <c r="F189" i="13" a="1"/>
  <c r="F189" i="13" s="1"/>
  <c r="J189" i="13" s="1"/>
  <c r="K189" i="13" s="1"/>
  <c r="C189" i="13" a="1"/>
  <c r="C189" i="13" s="1"/>
  <c r="B189" i="13" a="1"/>
  <c r="B189" i="13" s="1"/>
  <c r="J188" i="13"/>
  <c r="K188" i="13" s="1"/>
  <c r="F188" i="13"/>
  <c r="C188" i="13"/>
  <c r="J187" i="13"/>
  <c r="K187" i="13" s="1"/>
  <c r="F187" i="13"/>
  <c r="C187" i="13"/>
  <c r="C187" i="13" a="1"/>
  <c r="B187" i="13"/>
  <c r="F186" i="13"/>
  <c r="J186" i="13" s="1"/>
  <c r="K186" i="13" s="1"/>
  <c r="C186" i="13"/>
  <c r="C186" i="13" a="1"/>
  <c r="F185" i="13"/>
  <c r="J185" i="13" s="1"/>
  <c r="K185" i="13" s="1"/>
  <c r="C185" i="13"/>
  <c r="F184" i="13"/>
  <c r="J184" i="13" s="1"/>
  <c r="K184" i="13" s="1"/>
  <c r="C184" i="13" a="1"/>
  <c r="C184" i="13" s="1"/>
  <c r="J183" i="13"/>
  <c r="K183" i="13" s="1"/>
  <c r="F183" i="13"/>
  <c r="C183" i="13" a="1"/>
  <c r="C183" i="13" s="1"/>
  <c r="K182" i="13"/>
  <c r="F182" i="13"/>
  <c r="J182" i="13" s="1"/>
  <c r="C182" i="13" a="1"/>
  <c r="C182" i="13" s="1"/>
  <c r="B182" i="13"/>
  <c r="F180" i="13"/>
  <c r="C180" i="13"/>
  <c r="B178" i="13"/>
  <c r="D176" i="13" a="1"/>
  <c r="D176" i="13" s="1"/>
  <c r="E175" i="13" s="1"/>
  <c r="D174" i="13"/>
  <c r="D172" i="13"/>
  <c r="D171" i="13" a="1"/>
  <c r="D171" i="13" s="1"/>
  <c r="J194" i="13" s="1"/>
  <c r="K194" i="13" s="1"/>
  <c r="D170" i="13"/>
  <c r="G169" i="13" a="1"/>
  <c r="G169" i="13" s="1"/>
  <c r="F169" i="13" a="1"/>
  <c r="F169" i="13" s="1"/>
  <c r="K168" i="13"/>
  <c r="I168" i="13"/>
  <c r="H168" i="13" a="1"/>
  <c r="H168" i="13" s="1"/>
  <c r="K167" i="13"/>
  <c r="I167" i="13"/>
  <c r="H167" i="13" a="1"/>
  <c r="H167" i="13" s="1"/>
  <c r="B167" i="13" a="1"/>
  <c r="B167" i="13" s="1"/>
  <c r="K166" i="13"/>
  <c r="I166" i="13"/>
  <c r="H166" i="13" a="1"/>
  <c r="H166" i="13" s="1"/>
  <c r="K165" i="13"/>
  <c r="I165" i="13"/>
  <c r="H165" i="13" a="1"/>
  <c r="H165" i="13" s="1"/>
  <c r="B165" i="13"/>
  <c r="K164" i="13"/>
  <c r="I164" i="13"/>
  <c r="H164" i="13"/>
  <c r="H164" i="13" a="1"/>
  <c r="K163" i="13"/>
  <c r="I163" i="13"/>
  <c r="H163" i="13"/>
  <c r="H163" i="13" a="1"/>
  <c r="K162" i="13"/>
  <c r="I162" i="13"/>
  <c r="H162" i="13"/>
  <c r="H169" i="13" s="1" a="1"/>
  <c r="H169" i="13" s="1"/>
  <c r="H162" i="13" a="1"/>
  <c r="K161" i="13"/>
  <c r="I161" i="13"/>
  <c r="H161" i="13"/>
  <c r="H161" i="13" a="1"/>
  <c r="K160" i="13"/>
  <c r="I160" i="13"/>
  <c r="H160" i="13"/>
  <c r="H160" i="13" a="1"/>
  <c r="B151" i="13"/>
  <c r="I151" i="13" s="1"/>
  <c r="F150" i="13"/>
  <c r="C150" i="13" a="1"/>
  <c r="C150" i="13" s="1"/>
  <c r="B150" i="13"/>
  <c r="I149" i="13"/>
  <c r="C149" i="13"/>
  <c r="B149" i="13"/>
  <c r="F149" i="13" s="1"/>
  <c r="J148" i="13"/>
  <c r="K148" i="13" s="1"/>
  <c r="J148" i="13" a="1"/>
  <c r="I148" i="13" a="1"/>
  <c r="I148" i="13" s="1"/>
  <c r="F148" i="13" a="1"/>
  <c r="F148" i="13" s="1"/>
  <c r="C148" i="13" a="1"/>
  <c r="C148" i="13" s="1"/>
  <c r="B148" i="13" a="1"/>
  <c r="B148" i="13" s="1"/>
  <c r="J147" i="13"/>
  <c r="K147" i="13" s="1"/>
  <c r="J147" i="13" a="1"/>
  <c r="I147" i="13"/>
  <c r="I147" i="13" a="1"/>
  <c r="F147" i="13"/>
  <c r="F147" i="13" a="1"/>
  <c r="C147" i="13"/>
  <c r="C147" i="13" a="1"/>
  <c r="B147" i="13"/>
  <c r="B147" i="13" a="1"/>
  <c r="I146" i="13"/>
  <c r="F146" i="13"/>
  <c r="J146" i="13" s="1"/>
  <c r="K146" i="13" s="1"/>
  <c r="C146" i="13"/>
  <c r="C146" i="13" a="1"/>
  <c r="B146" i="13"/>
  <c r="F145" i="13"/>
  <c r="J145" i="13" s="1"/>
  <c r="K145" i="13" s="1"/>
  <c r="C145" i="13"/>
  <c r="C145" i="13" a="1"/>
  <c r="B145" i="13" a="1"/>
  <c r="B145" i="13" s="1"/>
  <c r="I145" i="13" s="1"/>
  <c r="C144" i="13"/>
  <c r="F143" i="13"/>
  <c r="C143" i="13"/>
  <c r="C142" i="13"/>
  <c r="J141" i="13"/>
  <c r="K141" i="13" s="1"/>
  <c r="F141" i="13"/>
  <c r="C141" i="13"/>
  <c r="C141" i="13" a="1"/>
  <c r="K140" i="13"/>
  <c r="J140" i="13"/>
  <c r="J142" i="13" s="1"/>
  <c r="K142" i="13" s="1"/>
  <c r="C140" i="13" a="1"/>
  <c r="C140" i="13" s="1"/>
  <c r="F139" i="13"/>
  <c r="J139" i="13" s="1"/>
  <c r="K139" i="13" s="1"/>
  <c r="C139" i="13" a="1"/>
  <c r="C139" i="13" s="1"/>
  <c r="J138" i="13"/>
  <c r="K138" i="13" s="1"/>
  <c r="I138" i="13"/>
  <c r="I138" i="13" a="1"/>
  <c r="F138" i="13"/>
  <c r="F138" i="13" a="1"/>
  <c r="C138" i="13" a="1"/>
  <c r="C138" i="13" s="1"/>
  <c r="B138" i="13" a="1"/>
  <c r="B138" i="13" s="1"/>
  <c r="J137" i="13"/>
  <c r="K137" i="13" s="1"/>
  <c r="F137" i="13"/>
  <c r="C137" i="13"/>
  <c r="J136" i="13"/>
  <c r="K136" i="13" s="1"/>
  <c r="F136" i="13"/>
  <c r="C136" i="13" a="1"/>
  <c r="C136" i="13" s="1"/>
  <c r="B136" i="13"/>
  <c r="K135" i="13"/>
  <c r="J135" i="13"/>
  <c r="F135" i="13"/>
  <c r="C135" i="13"/>
  <c r="C135" i="13" a="1"/>
  <c r="F134" i="13"/>
  <c r="J134" i="13" s="1"/>
  <c r="K134" i="13" s="1"/>
  <c r="C134" i="13"/>
  <c r="K133" i="13"/>
  <c r="F133" i="13"/>
  <c r="J133" i="13" s="1"/>
  <c r="C133" i="13" a="1"/>
  <c r="C133" i="13" s="1"/>
  <c r="F132" i="13"/>
  <c r="J132" i="13" s="1"/>
  <c r="K132" i="13" s="1"/>
  <c r="C132" i="13"/>
  <c r="C132" i="13" a="1"/>
  <c r="K131" i="13"/>
  <c r="F131" i="13"/>
  <c r="J131" i="13" s="1"/>
  <c r="C131" i="13"/>
  <c r="C131" i="13" a="1"/>
  <c r="B131" i="13"/>
  <c r="F129" i="13"/>
  <c r="C129" i="13"/>
  <c r="B127" i="13"/>
  <c r="D125" i="13"/>
  <c r="E124" i="13" s="1"/>
  <c r="D125" i="13" a="1"/>
  <c r="D123" i="13"/>
  <c r="J153" i="13" s="1"/>
  <c r="K153" i="13" s="1"/>
  <c r="D121" i="13"/>
  <c r="J120" i="13"/>
  <c r="K120" i="13" s="1"/>
  <c r="D120" i="13" a="1"/>
  <c r="D120" i="13" s="1"/>
  <c r="J143" i="13" s="1"/>
  <c r="K143" i="13" s="1"/>
  <c r="J119" i="13"/>
  <c r="D119" i="13"/>
  <c r="J118" i="13"/>
  <c r="K118" i="13" s="1"/>
  <c r="G118" i="13" a="1"/>
  <c r="G118" i="13" s="1"/>
  <c r="F118" i="13" a="1"/>
  <c r="F118" i="13" s="1"/>
  <c r="I118" i="13" s="1"/>
  <c r="K117" i="13"/>
  <c r="I117" i="13"/>
  <c r="H117" i="13" a="1"/>
  <c r="H117" i="13" s="1"/>
  <c r="K116" i="13"/>
  <c r="I116" i="13"/>
  <c r="H116" i="13" a="1"/>
  <c r="H116" i="13" s="1"/>
  <c r="B116" i="13"/>
  <c r="B116" i="13" a="1"/>
  <c r="K115" i="13"/>
  <c r="I115" i="13"/>
  <c r="H115" i="13"/>
  <c r="H115" i="13" a="1"/>
  <c r="K114" i="13"/>
  <c r="I114" i="13"/>
  <c r="H114" i="13"/>
  <c r="H114" i="13" a="1"/>
  <c r="B114" i="13"/>
  <c r="K113" i="13"/>
  <c r="I113" i="13"/>
  <c r="H113" i="13"/>
  <c r="H113" i="13" a="1"/>
  <c r="K112" i="13"/>
  <c r="I112" i="13"/>
  <c r="H112" i="13" a="1"/>
  <c r="H112" i="13" s="1"/>
  <c r="K111" i="13"/>
  <c r="I111" i="13"/>
  <c r="H111" i="13"/>
  <c r="H118" i="13" s="1" a="1"/>
  <c r="H118" i="13" s="1"/>
  <c r="H111" i="13" a="1"/>
  <c r="K110" i="13"/>
  <c r="I110" i="13"/>
  <c r="H110" i="13" a="1"/>
  <c r="H110" i="13" s="1"/>
  <c r="K109" i="13"/>
  <c r="I109" i="13"/>
  <c r="H109" i="13"/>
  <c r="H109" i="13" a="1"/>
  <c r="K102" i="13"/>
  <c r="J102" i="13"/>
  <c r="I100" i="13"/>
  <c r="F100" i="13"/>
  <c r="J100" i="13" s="1"/>
  <c r="K100" i="13" s="1"/>
  <c r="B100" i="13"/>
  <c r="I99" i="13"/>
  <c r="F99" i="13"/>
  <c r="B99" i="13"/>
  <c r="J99" i="13" s="1"/>
  <c r="K99" i="13" s="1"/>
  <c r="K98" i="13"/>
  <c r="C98" i="13"/>
  <c r="B98" i="13"/>
  <c r="J98" i="13" s="1"/>
  <c r="J97" i="13" a="1"/>
  <c r="J97" i="13" s="1"/>
  <c r="K97" i="13" s="1"/>
  <c r="I97" i="13" a="1"/>
  <c r="I97" i="13" s="1"/>
  <c r="F97" i="13"/>
  <c r="F97" i="13" a="1"/>
  <c r="C97" i="13"/>
  <c r="C97" i="13" a="1"/>
  <c r="B97" i="13" a="1"/>
  <c r="B97" i="13" s="1"/>
  <c r="J96" i="13" a="1"/>
  <c r="J96" i="13" s="1"/>
  <c r="K96" i="13" s="1"/>
  <c r="I96" i="13"/>
  <c r="I96" i="13" a="1"/>
  <c r="F96" i="13"/>
  <c r="F96" i="13" a="1"/>
  <c r="C96" i="13"/>
  <c r="C96" i="13" a="1"/>
  <c r="B96" i="13" a="1"/>
  <c r="B96" i="13" s="1"/>
  <c r="I95" i="13"/>
  <c r="F95" i="13"/>
  <c r="J95" i="13" s="1"/>
  <c r="K95" i="13" s="1"/>
  <c r="C95" i="13"/>
  <c r="C95" i="13" a="1"/>
  <c r="B95" i="13"/>
  <c r="I94" i="13"/>
  <c r="F94" i="13"/>
  <c r="J94" i="13" s="1"/>
  <c r="K94" i="13" s="1"/>
  <c r="C94" i="13"/>
  <c r="C94" i="13" a="1"/>
  <c r="B94" i="13" a="1"/>
  <c r="B94" i="13" s="1"/>
  <c r="C93" i="13"/>
  <c r="F92" i="13"/>
  <c r="C92" i="13"/>
  <c r="C91" i="13"/>
  <c r="F90" i="13"/>
  <c r="J90" i="13" s="1"/>
  <c r="K90" i="13" s="1"/>
  <c r="C90" i="13"/>
  <c r="C90" i="13" a="1"/>
  <c r="J89" i="13"/>
  <c r="J91" i="13" s="1"/>
  <c r="K91" i="13" s="1"/>
  <c r="C89" i="13"/>
  <c r="C89" i="13" a="1"/>
  <c r="J88" i="13"/>
  <c r="K88" i="13" s="1"/>
  <c r="F88" i="13"/>
  <c r="C88" i="13" a="1"/>
  <c r="C88" i="13" s="1"/>
  <c r="J87" i="13"/>
  <c r="K87" i="13" s="1"/>
  <c r="I87" i="13"/>
  <c r="I87" i="13" a="1"/>
  <c r="F87" i="13"/>
  <c r="F87" i="13" a="1"/>
  <c r="C87" i="13" a="1"/>
  <c r="C87" i="13" s="1"/>
  <c r="B87" i="13" a="1"/>
  <c r="B87" i="13" s="1"/>
  <c r="F86" i="13"/>
  <c r="J86" i="13" s="1"/>
  <c r="K86" i="13" s="1"/>
  <c r="C86" i="13"/>
  <c r="F85" i="13"/>
  <c r="J85" i="13" s="1"/>
  <c r="K85" i="13" s="1"/>
  <c r="C85" i="13"/>
  <c r="C85" i="13" a="1"/>
  <c r="B85" i="13"/>
  <c r="J84" i="13"/>
  <c r="K84" i="13" s="1"/>
  <c r="F84" i="13"/>
  <c r="C84" i="13" a="1"/>
  <c r="C84" i="13" s="1"/>
  <c r="K83" i="13"/>
  <c r="J83" i="13"/>
  <c r="F83" i="13"/>
  <c r="C83" i="13"/>
  <c r="F82" i="13"/>
  <c r="J82" i="13" s="1"/>
  <c r="K82" i="13" s="1"/>
  <c r="C82" i="13" a="1"/>
  <c r="C82" i="13" s="1"/>
  <c r="F81" i="13"/>
  <c r="J81" i="13" s="1"/>
  <c r="K81" i="13" s="1"/>
  <c r="C81" i="13"/>
  <c r="C81" i="13" a="1"/>
  <c r="F80" i="13"/>
  <c r="J80" i="13" s="1"/>
  <c r="K80" i="13" s="1"/>
  <c r="C80" i="13"/>
  <c r="C80" i="13" a="1"/>
  <c r="B80" i="13"/>
  <c r="F78" i="13"/>
  <c r="C78" i="13"/>
  <c r="B76" i="13"/>
  <c r="D74" i="13" a="1"/>
  <c r="D74" i="13" s="1"/>
  <c r="E73" i="13" s="1"/>
  <c r="D72" i="13"/>
  <c r="D70" i="13"/>
  <c r="D69" i="13" a="1"/>
  <c r="D69" i="13" s="1"/>
  <c r="J92" i="13" s="1"/>
  <c r="K92" i="13" s="1"/>
  <c r="D68" i="13"/>
  <c r="D71" i="13" s="1"/>
  <c r="K67" i="13"/>
  <c r="J67" i="13"/>
  <c r="G67" i="13" a="1"/>
  <c r="G67" i="13" s="1"/>
  <c r="F67" i="13" a="1"/>
  <c r="F67" i="13" s="1"/>
  <c r="K66" i="13"/>
  <c r="I66" i="13"/>
  <c r="H66" i="13" a="1"/>
  <c r="H66" i="13" s="1"/>
  <c r="K65" i="13"/>
  <c r="I65" i="13"/>
  <c r="H65" i="13" a="1"/>
  <c r="H65" i="13" s="1"/>
  <c r="B65" i="13" a="1"/>
  <c r="B65" i="13" s="1"/>
  <c r="K64" i="13"/>
  <c r="I64" i="13"/>
  <c r="H64" i="13" a="1"/>
  <c r="H64" i="13" s="1"/>
  <c r="K63" i="13"/>
  <c r="I63" i="13"/>
  <c r="H63" i="13" a="1"/>
  <c r="H63" i="13" s="1"/>
  <c r="B63" i="13"/>
  <c r="K62" i="13"/>
  <c r="I62" i="13"/>
  <c r="H62" i="13" a="1"/>
  <c r="H62" i="13" s="1"/>
  <c r="K61" i="13"/>
  <c r="I61" i="13"/>
  <c r="H61" i="13" a="1"/>
  <c r="H61" i="13" s="1"/>
  <c r="K60" i="13"/>
  <c r="I60" i="13"/>
  <c r="H60" i="13" a="1"/>
  <c r="H60" i="13" s="1"/>
  <c r="H67" i="13" s="1" a="1"/>
  <c r="H67" i="13" s="1"/>
  <c r="K59" i="13"/>
  <c r="K68" i="13" s="1"/>
  <c r="I59" i="13"/>
  <c r="H59" i="13" a="1"/>
  <c r="H59" i="13" s="1"/>
  <c r="K58" i="13"/>
  <c r="I58" i="13"/>
  <c r="H58" i="13" a="1"/>
  <c r="H58" i="13" s="1"/>
  <c r="I49" i="13"/>
  <c r="B49" i="13"/>
  <c r="F49" i="13" s="1"/>
  <c r="J49" i="13" s="1"/>
  <c r="K49" i="13" s="1"/>
  <c r="J48" i="13"/>
  <c r="K48" i="13" s="1"/>
  <c r="I48" i="13"/>
  <c r="F48" i="13"/>
  <c r="C48" i="13" a="1"/>
  <c r="C48" i="13" s="1"/>
  <c r="B48" i="13"/>
  <c r="I47" i="13"/>
  <c r="B47" i="13"/>
  <c r="J47" i="13" s="1"/>
  <c r="K47" i="13" s="1"/>
  <c r="J46" i="13" a="1"/>
  <c r="J46" i="13" s="1"/>
  <c r="K46" i="13" s="1"/>
  <c r="I46" i="13" a="1"/>
  <c r="I46" i="13" s="1"/>
  <c r="F46" i="13" a="1"/>
  <c r="F46" i="13" s="1"/>
  <c r="C46" i="13" a="1"/>
  <c r="C46" i="13" s="1"/>
  <c r="B46" i="13" a="1"/>
  <c r="B46" i="13" s="1"/>
  <c r="J45" i="13"/>
  <c r="K45" i="13" s="1"/>
  <c r="J45" i="13" a="1"/>
  <c r="I45" i="13" a="1"/>
  <c r="I45" i="13" s="1"/>
  <c r="F45" i="13"/>
  <c r="F45" i="13" a="1"/>
  <c r="C45" i="13" a="1"/>
  <c r="C45" i="13" s="1"/>
  <c r="B45" i="13"/>
  <c r="B45" i="13" a="1"/>
  <c r="J44" i="13"/>
  <c r="K44" i="13" s="1"/>
  <c r="F44" i="13"/>
  <c r="C44" i="13" a="1"/>
  <c r="C44" i="13" s="1"/>
  <c r="B44" i="13"/>
  <c r="I44" i="13" s="1"/>
  <c r="F43" i="13"/>
  <c r="J43" i="13" s="1"/>
  <c r="K43" i="13" s="1"/>
  <c r="C43" i="13" a="1"/>
  <c r="C43" i="13" s="1"/>
  <c r="B43" i="13" a="1"/>
  <c r="B43" i="13" s="1"/>
  <c r="I43" i="13" s="1"/>
  <c r="C42" i="13"/>
  <c r="F41" i="13"/>
  <c r="C41" i="13"/>
  <c r="C40" i="13"/>
  <c r="J39" i="13"/>
  <c r="K39" i="13" s="1"/>
  <c r="F39" i="13"/>
  <c r="C39" i="13" a="1"/>
  <c r="C39" i="13" s="1"/>
  <c r="K38" i="13"/>
  <c r="J38" i="13"/>
  <c r="J40" i="13" s="1"/>
  <c r="K40" i="13" s="1"/>
  <c r="C38" i="13" a="1"/>
  <c r="C38" i="13" s="1"/>
  <c r="F37" i="13"/>
  <c r="J37" i="13" s="1"/>
  <c r="K37" i="13" s="1"/>
  <c r="C37" i="13" a="1"/>
  <c r="C37" i="13" s="1"/>
  <c r="I36" i="13" a="1"/>
  <c r="I36" i="13" s="1"/>
  <c r="F36" i="13" a="1"/>
  <c r="F36" i="13" s="1"/>
  <c r="J36" i="13" s="1"/>
  <c r="K36" i="13" s="1"/>
  <c r="C36" i="13" a="1"/>
  <c r="C36" i="13" s="1"/>
  <c r="B36" i="13" a="1"/>
  <c r="B36" i="13" s="1"/>
  <c r="J35" i="13"/>
  <c r="K35" i="13" s="1"/>
  <c r="F35" i="13"/>
  <c r="C35" i="13"/>
  <c r="J34" i="13"/>
  <c r="K34" i="13" s="1"/>
  <c r="F34" i="13"/>
  <c r="C34" i="13" a="1"/>
  <c r="C34" i="13" s="1"/>
  <c r="B34" i="13"/>
  <c r="F33" i="13"/>
  <c r="J33" i="13" s="1"/>
  <c r="K33" i="13" s="1"/>
  <c r="C33" i="13"/>
  <c r="C33" i="13" a="1"/>
  <c r="F32" i="13"/>
  <c r="J32" i="13" s="1"/>
  <c r="K32" i="13" s="1"/>
  <c r="C32" i="13"/>
  <c r="F31" i="13"/>
  <c r="J31" i="13" s="1"/>
  <c r="K31" i="13" s="1"/>
  <c r="C31" i="13" a="1"/>
  <c r="C31" i="13" s="1"/>
  <c r="J30" i="13"/>
  <c r="K30" i="13" s="1"/>
  <c r="F30" i="13"/>
  <c r="C30" i="13" a="1"/>
  <c r="C30" i="13" s="1"/>
  <c r="F29" i="13"/>
  <c r="J29" i="13" s="1"/>
  <c r="K29" i="13" s="1"/>
  <c r="C29" i="13" a="1"/>
  <c r="C29" i="13" s="1"/>
  <c r="B29" i="13"/>
  <c r="F27" i="13"/>
  <c r="C27" i="13"/>
  <c r="B25" i="13"/>
  <c r="D23" i="13" a="1"/>
  <c r="D23" i="13" s="1"/>
  <c r="E22" i="13" s="1"/>
  <c r="D21" i="13"/>
  <c r="J51" i="13" s="1"/>
  <c r="K51" i="13" s="1"/>
  <c r="D19" i="13"/>
  <c r="D18" i="13" a="1"/>
  <c r="D18" i="13" s="1"/>
  <c r="D17" i="13"/>
  <c r="D20" i="13" s="1"/>
  <c r="G16" i="13" a="1"/>
  <c r="G16" i="13" s="1"/>
  <c r="F16" i="13" a="1"/>
  <c r="F16" i="13" s="1"/>
  <c r="K15" i="13"/>
  <c r="I15" i="13"/>
  <c r="H15" i="13" a="1"/>
  <c r="H15" i="13" s="1"/>
  <c r="K14" i="13"/>
  <c r="I14" i="13"/>
  <c r="H14" i="13" a="1"/>
  <c r="H14" i="13" s="1"/>
  <c r="B14" i="13" a="1"/>
  <c r="B14" i="13" s="1"/>
  <c r="K13" i="13"/>
  <c r="I13" i="13"/>
  <c r="H13" i="13" a="1"/>
  <c r="H13" i="13" s="1"/>
  <c r="K12" i="13"/>
  <c r="I12" i="13"/>
  <c r="H12" i="13" a="1"/>
  <c r="H12" i="13" s="1"/>
  <c r="B12" i="13"/>
  <c r="K11" i="13"/>
  <c r="I11" i="13"/>
  <c r="H11" i="13"/>
  <c r="H11" i="13" a="1"/>
  <c r="K10" i="13"/>
  <c r="I10" i="13"/>
  <c r="H10" i="13"/>
  <c r="H10" i="13" a="1"/>
  <c r="K9" i="13"/>
  <c r="I9" i="13"/>
  <c r="H9" i="13"/>
  <c r="H16" i="13" s="1" a="1"/>
  <c r="H16" i="13" s="1"/>
  <c r="H9" i="13" a="1"/>
  <c r="K8" i="13"/>
  <c r="I8" i="13"/>
  <c r="H8" i="13"/>
  <c r="H8" i="13" a="1"/>
  <c r="K7" i="13"/>
  <c r="I7" i="13"/>
  <c r="H7" i="13"/>
  <c r="H7" i="13" a="1"/>
  <c r="H7" i="7"/>
  <c r="B280" i="7"/>
  <c r="G280" i="7" s="1"/>
  <c r="K280" i="7" s="1"/>
  <c r="L280" i="7" s="1"/>
  <c r="K279" i="7"/>
  <c r="L279" i="7" s="1"/>
  <c r="B279" i="7"/>
  <c r="G279" i="7" s="1"/>
  <c r="K278" i="7"/>
  <c r="L278" i="7" s="1"/>
  <c r="C278" i="7"/>
  <c r="B278" i="7"/>
  <c r="C279" i="7" s="1" a="1"/>
  <c r="C279" i="7" s="1"/>
  <c r="G277" i="7"/>
  <c r="K277" i="7" s="1"/>
  <c r="L277" i="7" s="1"/>
  <c r="C277" i="7" a="1"/>
  <c r="C277" i="7" s="1"/>
  <c r="B277" i="7"/>
  <c r="G276" i="7"/>
  <c r="K276" i="7" s="1"/>
  <c r="L276" i="7" s="1"/>
  <c r="G276" i="7" a="1"/>
  <c r="C276" i="7"/>
  <c r="K275" i="7"/>
  <c r="L275" i="7" s="1"/>
  <c r="G275" i="7"/>
  <c r="C275" i="7"/>
  <c r="K274" i="7"/>
  <c r="L274" i="7" s="1"/>
  <c r="G274" i="7"/>
  <c r="C274" i="7"/>
  <c r="K273" i="7"/>
  <c r="L273" i="7" s="1"/>
  <c r="G273" i="7"/>
  <c r="C273" i="7" a="1"/>
  <c r="C273" i="7" s="1"/>
  <c r="L272" i="7"/>
  <c r="K272" i="7"/>
  <c r="G272" i="7"/>
  <c r="C272" i="7"/>
  <c r="G271" i="7"/>
  <c r="K271" i="7" s="1"/>
  <c r="L271" i="7" s="1"/>
  <c r="C271" i="7" a="1"/>
  <c r="C271" i="7" s="1"/>
  <c r="K270" i="7"/>
  <c r="L270" i="7" s="1"/>
  <c r="G270" i="7"/>
  <c r="C270" i="7"/>
  <c r="C270" i="7" a="1"/>
  <c r="G269" i="7"/>
  <c r="K269" i="7" s="1"/>
  <c r="L269" i="7" s="1"/>
  <c r="C269" i="7" a="1"/>
  <c r="C269" i="7" s="1"/>
  <c r="B269" i="7"/>
  <c r="G268" i="7"/>
  <c r="C267" i="7"/>
  <c r="K266" i="7"/>
  <c r="K267" i="7" s="1"/>
  <c r="L267" i="7" s="1"/>
  <c r="C266" i="7"/>
  <c r="C266" i="7" a="1"/>
  <c r="G265" i="7"/>
  <c r="K265" i="7" s="1"/>
  <c r="L265" i="7" s="1"/>
  <c r="C265" i="7" a="1"/>
  <c r="C265" i="7" s="1"/>
  <c r="C264" i="7"/>
  <c r="G262" i="7"/>
  <c r="C262" i="7"/>
  <c r="B260" i="7"/>
  <c r="D258" i="7" a="1"/>
  <c r="D258" i="7" s="1"/>
  <c r="D256" i="7" a="1"/>
  <c r="D256" i="7" s="1"/>
  <c r="C256" i="7"/>
  <c r="B256" i="7"/>
  <c r="D254" i="7"/>
  <c r="K281" i="7" s="1"/>
  <c r="L281" i="7" s="1"/>
  <c r="H252" i="7" a="1"/>
  <c r="H252" i="7" s="1"/>
  <c r="G252" i="7" a="1"/>
  <c r="G252" i="7" s="1"/>
  <c r="J252" i="7" s="1"/>
  <c r="D252" i="7"/>
  <c r="L251" i="7"/>
  <c r="J251" i="7"/>
  <c r="I251" i="7" a="1"/>
  <c r="I251" i="7" s="1"/>
  <c r="D251" i="7"/>
  <c r="D253" i="7" s="1"/>
  <c r="D251" i="7" a="1"/>
  <c r="L250" i="7"/>
  <c r="J250" i="7"/>
  <c r="I250" i="7" a="1"/>
  <c r="I250" i="7" s="1"/>
  <c r="L249" i="7"/>
  <c r="J249" i="7"/>
  <c r="I249" i="7"/>
  <c r="I249" i="7" a="1"/>
  <c r="L248" i="7"/>
  <c r="J248" i="7"/>
  <c r="I248" i="7" a="1"/>
  <c r="I248" i="7" s="1"/>
  <c r="B248" i="7" a="1"/>
  <c r="B248" i="7" s="1"/>
  <c r="L247" i="7"/>
  <c r="J247" i="7"/>
  <c r="I247" i="7" a="1"/>
  <c r="I247" i="7" s="1"/>
  <c r="L246" i="7"/>
  <c r="J246" i="7"/>
  <c r="I246" i="7" a="1"/>
  <c r="I246" i="7" s="1"/>
  <c r="L245" i="7"/>
  <c r="J245" i="7"/>
  <c r="I245" i="7" a="1"/>
  <c r="I245" i="7" s="1"/>
  <c r="I252" i="7" s="1" a="1"/>
  <c r="I252" i="7" s="1"/>
  <c r="B245" i="7"/>
  <c r="L244" i="7"/>
  <c r="J244" i="7"/>
  <c r="I244" i="7" a="1"/>
  <c r="I244" i="7" s="1"/>
  <c r="E244" i="7"/>
  <c r="L243" i="7"/>
  <c r="J243" i="7"/>
  <c r="I243" i="7" a="1"/>
  <c r="I243" i="7" s="1"/>
  <c r="L242" i="7"/>
  <c r="K242" i="7"/>
  <c r="J242" i="7"/>
  <c r="I242" i="7"/>
  <c r="H242" i="7"/>
  <c r="G242" i="7"/>
  <c r="B233" i="7"/>
  <c r="G233" i="7" s="1"/>
  <c r="K233" i="7" s="1"/>
  <c r="L233" i="7" s="1"/>
  <c r="K232" i="7"/>
  <c r="L232" i="7" s="1"/>
  <c r="B232" i="7"/>
  <c r="G232" i="7" s="1"/>
  <c r="K231" i="7"/>
  <c r="L231" i="7" s="1"/>
  <c r="C231" i="7"/>
  <c r="B231" i="7"/>
  <c r="C232" i="7" s="1" a="1"/>
  <c r="C232" i="7" s="1"/>
  <c r="G230" i="7"/>
  <c r="K230" i="7" s="1"/>
  <c r="L230" i="7" s="1"/>
  <c r="C230" i="7" a="1"/>
  <c r="C230" i="7" s="1"/>
  <c r="B230" i="7"/>
  <c r="G229" i="7" a="1"/>
  <c r="G229" i="7" s="1"/>
  <c r="K229" i="7" s="1"/>
  <c r="L229" i="7" s="1"/>
  <c r="C229" i="7"/>
  <c r="K228" i="7"/>
  <c r="L228" i="7" s="1"/>
  <c r="G228" i="7"/>
  <c r="C228" i="7"/>
  <c r="K227" i="7"/>
  <c r="L227" i="7" s="1"/>
  <c r="G227" i="7"/>
  <c r="C227" i="7"/>
  <c r="K226" i="7"/>
  <c r="L226" i="7" s="1"/>
  <c r="G226" i="7"/>
  <c r="C226" i="7" a="1"/>
  <c r="C226" i="7" s="1"/>
  <c r="G225" i="7"/>
  <c r="K225" i="7" s="1"/>
  <c r="L225" i="7" s="1"/>
  <c r="C225" i="7"/>
  <c r="G224" i="7"/>
  <c r="K224" i="7" s="1"/>
  <c r="L224" i="7" s="1"/>
  <c r="C224" i="7" a="1"/>
  <c r="C224" i="7" s="1"/>
  <c r="K223" i="7"/>
  <c r="L223" i="7" s="1"/>
  <c r="G223" i="7"/>
  <c r="C223" i="7" a="1"/>
  <c r="C223" i="7" s="1"/>
  <c r="G222" i="7"/>
  <c r="K222" i="7" s="1"/>
  <c r="L222" i="7" s="1"/>
  <c r="C222" i="7" a="1"/>
  <c r="C222" i="7" s="1"/>
  <c r="B222" i="7"/>
  <c r="G221" i="7"/>
  <c r="K220" i="7"/>
  <c r="L220" i="7" s="1"/>
  <c r="C220" i="7"/>
  <c r="K219" i="7"/>
  <c r="L219" i="7" s="1"/>
  <c r="C219" i="7" a="1"/>
  <c r="C219" i="7" s="1"/>
  <c r="G218" i="7"/>
  <c r="K218" i="7" s="1"/>
  <c r="L218" i="7" s="1"/>
  <c r="C218" i="7" a="1"/>
  <c r="C218" i="7" s="1"/>
  <c r="C217" i="7"/>
  <c r="G215" i="7"/>
  <c r="C215" i="7"/>
  <c r="B213" i="7"/>
  <c r="D211" i="7" a="1"/>
  <c r="D211" i="7" s="1"/>
  <c r="D209" i="7" a="1"/>
  <c r="D209" i="7" s="1"/>
  <c r="C209" i="7"/>
  <c r="B209" i="7"/>
  <c r="D207" i="7"/>
  <c r="K234" i="7" s="1"/>
  <c r="L234" i="7" s="1"/>
  <c r="K205" i="7"/>
  <c r="L205" i="7" s="1"/>
  <c r="H205" i="7" a="1"/>
  <c r="H205" i="7" s="1"/>
  <c r="G205" i="7" a="1"/>
  <c r="G205" i="7" s="1"/>
  <c r="J205" i="7" s="1"/>
  <c r="D205" i="7"/>
  <c r="L204" i="7"/>
  <c r="J204" i="7"/>
  <c r="I204" i="7" a="1"/>
  <c r="I204" i="7" s="1"/>
  <c r="D204" i="7" a="1"/>
  <c r="D204" i="7" s="1"/>
  <c r="L203" i="7"/>
  <c r="J203" i="7"/>
  <c r="I203" i="7" a="1"/>
  <c r="I203" i="7" s="1"/>
  <c r="L202" i="7"/>
  <c r="J202" i="7"/>
  <c r="I202" i="7" a="1"/>
  <c r="I202" i="7" s="1"/>
  <c r="L201" i="7"/>
  <c r="J201" i="7"/>
  <c r="I201" i="7" a="1"/>
  <c r="I201" i="7" s="1"/>
  <c r="B201" i="7" a="1"/>
  <c r="B201" i="7" s="1"/>
  <c r="L200" i="7"/>
  <c r="J200" i="7"/>
  <c r="I200" i="7" a="1"/>
  <c r="I200" i="7" s="1"/>
  <c r="L199" i="7"/>
  <c r="J199" i="7"/>
  <c r="I199" i="7" a="1"/>
  <c r="I199" i="7" s="1"/>
  <c r="L198" i="7"/>
  <c r="J198" i="7"/>
  <c r="I198" i="7" a="1"/>
  <c r="I198" i="7" s="1"/>
  <c r="I205" i="7" s="1" a="1"/>
  <c r="I205" i="7" s="1"/>
  <c r="B198" i="7"/>
  <c r="L197" i="7"/>
  <c r="J197" i="7"/>
  <c r="I197" i="7" a="1"/>
  <c r="I197" i="7" s="1"/>
  <c r="E197" i="7"/>
  <c r="L196" i="7"/>
  <c r="J196" i="7"/>
  <c r="I196" i="7" a="1"/>
  <c r="I196" i="7" s="1"/>
  <c r="L195" i="7"/>
  <c r="K195" i="7"/>
  <c r="J195" i="7"/>
  <c r="I195" i="7"/>
  <c r="H195" i="7"/>
  <c r="G195" i="7"/>
  <c r="B186" i="7"/>
  <c r="G186" i="7" s="1"/>
  <c r="K186" i="7" s="1"/>
  <c r="L186" i="7" s="1"/>
  <c r="K185" i="7"/>
  <c r="L185" i="7" s="1"/>
  <c r="B185" i="7"/>
  <c r="G185" i="7" s="1"/>
  <c r="K184" i="7"/>
  <c r="L184" i="7" s="1"/>
  <c r="G184" i="7"/>
  <c r="C184" i="7"/>
  <c r="B184" i="7"/>
  <c r="C185" i="7" s="1" a="1"/>
  <c r="C185" i="7" s="1"/>
  <c r="G183" i="7"/>
  <c r="K183" i="7" s="1"/>
  <c r="L183" i="7" s="1"/>
  <c r="C183" i="7" a="1"/>
  <c r="C183" i="7" s="1"/>
  <c r="B183" i="7"/>
  <c r="G182" i="7" a="1"/>
  <c r="G182" i="7" s="1"/>
  <c r="K182" i="7" s="1"/>
  <c r="L182" i="7" s="1"/>
  <c r="C182" i="7"/>
  <c r="G181" i="7"/>
  <c r="K181" i="7" s="1"/>
  <c r="L181" i="7" s="1"/>
  <c r="C181" i="7"/>
  <c r="G180" i="7"/>
  <c r="K180" i="7" s="1"/>
  <c r="L180" i="7" s="1"/>
  <c r="C180" i="7"/>
  <c r="G179" i="7"/>
  <c r="K179" i="7" s="1"/>
  <c r="L179" i="7" s="1"/>
  <c r="C179" i="7" a="1"/>
  <c r="C179" i="7" s="1"/>
  <c r="G178" i="7"/>
  <c r="K178" i="7" s="1"/>
  <c r="L178" i="7" s="1"/>
  <c r="C178" i="7"/>
  <c r="G177" i="7"/>
  <c r="K177" i="7" s="1"/>
  <c r="L177" i="7" s="1"/>
  <c r="C177" i="7" a="1"/>
  <c r="C177" i="7" s="1"/>
  <c r="K176" i="7"/>
  <c r="L176" i="7" s="1"/>
  <c r="G176" i="7"/>
  <c r="C176" i="7" a="1"/>
  <c r="C176" i="7" s="1"/>
  <c r="K175" i="7"/>
  <c r="L175" i="7" s="1"/>
  <c r="G175" i="7"/>
  <c r="C175" i="7" a="1"/>
  <c r="C175" i="7" s="1"/>
  <c r="B175" i="7"/>
  <c r="G174" i="7"/>
  <c r="C173" i="7"/>
  <c r="K172" i="7"/>
  <c r="K173" i="7" s="1"/>
  <c r="L173" i="7" s="1"/>
  <c r="C172" i="7" a="1"/>
  <c r="C172" i="7" s="1"/>
  <c r="K171" i="7"/>
  <c r="L171" i="7" s="1"/>
  <c r="G171" i="7"/>
  <c r="C171" i="7" a="1"/>
  <c r="C171" i="7" s="1"/>
  <c r="C170" i="7"/>
  <c r="G168" i="7"/>
  <c r="C168" i="7"/>
  <c r="B166" i="7"/>
  <c r="D164" i="7" a="1"/>
  <c r="D164" i="7" s="1"/>
  <c r="D162" i="7"/>
  <c r="D162" i="7" a="1"/>
  <c r="C162" i="7"/>
  <c r="B162" i="7"/>
  <c r="D160" i="7"/>
  <c r="K187" i="7" s="1"/>
  <c r="L187" i="7" s="1"/>
  <c r="H158" i="7" a="1"/>
  <c r="H158" i="7" s="1"/>
  <c r="G158" i="7" a="1"/>
  <c r="G158" i="7" s="1"/>
  <c r="D158" i="7"/>
  <c r="L157" i="7"/>
  <c r="J157" i="7"/>
  <c r="I157" i="7" a="1"/>
  <c r="I157" i="7" s="1"/>
  <c r="D157" i="7" a="1"/>
  <c r="D157" i="7" s="1"/>
  <c r="D159" i="7" s="1"/>
  <c r="L156" i="7"/>
  <c r="J156" i="7"/>
  <c r="I156" i="7" a="1"/>
  <c r="I156" i="7" s="1"/>
  <c r="L155" i="7"/>
  <c r="J155" i="7"/>
  <c r="I155" i="7"/>
  <c r="I155" i="7" a="1"/>
  <c r="L154" i="7"/>
  <c r="J154" i="7"/>
  <c r="I154" i="7" a="1"/>
  <c r="I154" i="7" s="1"/>
  <c r="B154" i="7" a="1"/>
  <c r="B154" i="7" s="1"/>
  <c r="L153" i="7"/>
  <c r="J153" i="7"/>
  <c r="I153" i="7" a="1"/>
  <c r="I153" i="7" s="1"/>
  <c r="L152" i="7"/>
  <c r="J152" i="7"/>
  <c r="I152" i="7" a="1"/>
  <c r="I152" i="7" s="1"/>
  <c r="L151" i="7"/>
  <c r="J151" i="7"/>
  <c r="I151" i="7" a="1"/>
  <c r="I151" i="7" s="1"/>
  <c r="I158" i="7" s="1" a="1"/>
  <c r="I158" i="7" s="1"/>
  <c r="B151" i="7"/>
  <c r="L150" i="7"/>
  <c r="J150" i="7"/>
  <c r="I150" i="7" a="1"/>
  <c r="I150" i="7" s="1"/>
  <c r="E150" i="7"/>
  <c r="L149" i="7"/>
  <c r="J149" i="7"/>
  <c r="I149" i="7" a="1"/>
  <c r="I149" i="7" s="1"/>
  <c r="L148" i="7"/>
  <c r="K148" i="7"/>
  <c r="J148" i="7"/>
  <c r="I148" i="7"/>
  <c r="H148" i="7"/>
  <c r="G148" i="7"/>
  <c r="B139" i="7"/>
  <c r="G139" i="7" s="1"/>
  <c r="K139" i="7" s="1"/>
  <c r="L139" i="7" s="1"/>
  <c r="K138" i="7"/>
  <c r="L138" i="7" s="1"/>
  <c r="B138" i="7"/>
  <c r="G138" i="7" s="1"/>
  <c r="K137" i="7"/>
  <c r="L137" i="7" s="1"/>
  <c r="C137" i="7"/>
  <c r="B137" i="7"/>
  <c r="C138" i="7" s="1" a="1"/>
  <c r="C138" i="7" s="1"/>
  <c r="G136" i="7"/>
  <c r="K136" i="7" s="1"/>
  <c r="L136" i="7" s="1"/>
  <c r="C136" i="7" a="1"/>
  <c r="C136" i="7" s="1"/>
  <c r="B136" i="7"/>
  <c r="G135" i="7"/>
  <c r="K135" i="7" s="1"/>
  <c r="L135" i="7" s="1"/>
  <c r="G135" i="7" a="1"/>
  <c r="C135" i="7"/>
  <c r="K134" i="7"/>
  <c r="L134" i="7" s="1"/>
  <c r="G134" i="7"/>
  <c r="C134" i="7"/>
  <c r="K133" i="7"/>
  <c r="L133" i="7" s="1"/>
  <c r="G133" i="7"/>
  <c r="C133" i="7"/>
  <c r="K132" i="7"/>
  <c r="L132" i="7" s="1"/>
  <c r="G132" i="7"/>
  <c r="C132" i="7" a="1"/>
  <c r="C132" i="7" s="1"/>
  <c r="K131" i="7"/>
  <c r="L131" i="7" s="1"/>
  <c r="G131" i="7"/>
  <c r="C131" i="7"/>
  <c r="G130" i="7"/>
  <c r="K130" i="7" s="1"/>
  <c r="L130" i="7" s="1"/>
  <c r="C130" i="7" a="1"/>
  <c r="C130" i="7" s="1"/>
  <c r="K129" i="7"/>
  <c r="L129" i="7" s="1"/>
  <c r="G129" i="7"/>
  <c r="C129" i="7"/>
  <c r="C129" i="7" a="1"/>
  <c r="G128" i="7"/>
  <c r="K128" i="7" s="1"/>
  <c r="L128" i="7" s="1"/>
  <c r="C128" i="7" a="1"/>
  <c r="C128" i="7" s="1"/>
  <c r="B128" i="7"/>
  <c r="G127" i="7"/>
  <c r="C126" i="7"/>
  <c r="K125" i="7"/>
  <c r="K126" i="7" s="1"/>
  <c r="L126" i="7" s="1"/>
  <c r="C125" i="7" a="1"/>
  <c r="C125" i="7" s="1"/>
  <c r="G124" i="7"/>
  <c r="K124" i="7" s="1"/>
  <c r="L124" i="7" s="1"/>
  <c r="C124" i="7" a="1"/>
  <c r="C124" i="7" s="1"/>
  <c r="C123" i="7"/>
  <c r="G121" i="7"/>
  <c r="C121" i="7"/>
  <c r="B119" i="7"/>
  <c r="D117" i="7" a="1"/>
  <c r="D117" i="7" s="1"/>
  <c r="D115" i="7" a="1"/>
  <c r="D115" i="7" s="1"/>
  <c r="C115" i="7"/>
  <c r="B115" i="7"/>
  <c r="D113" i="7"/>
  <c r="K140" i="7" s="1"/>
  <c r="L140" i="7" s="1"/>
  <c r="H111" i="7" a="1"/>
  <c r="H111" i="7" s="1"/>
  <c r="G111" i="7" a="1"/>
  <c r="G111" i="7" s="1"/>
  <c r="J111" i="7" s="1"/>
  <c r="D111" i="7"/>
  <c r="L110" i="7"/>
  <c r="J110" i="7"/>
  <c r="I110" i="7" a="1"/>
  <c r="I110" i="7" s="1"/>
  <c r="D110" i="7" a="1"/>
  <c r="D110" i="7" s="1"/>
  <c r="L109" i="7"/>
  <c r="J109" i="7"/>
  <c r="I109" i="7" a="1"/>
  <c r="I109" i="7" s="1"/>
  <c r="L108" i="7"/>
  <c r="J108" i="7"/>
  <c r="I108" i="7" a="1"/>
  <c r="I108" i="7" s="1"/>
  <c r="L107" i="7"/>
  <c r="J107" i="7"/>
  <c r="I107" i="7" a="1"/>
  <c r="I107" i="7" s="1"/>
  <c r="B107" i="7" a="1"/>
  <c r="B107" i="7" s="1"/>
  <c r="L106" i="7"/>
  <c r="J106" i="7"/>
  <c r="I106" i="7" a="1"/>
  <c r="I106" i="7" s="1"/>
  <c r="L105" i="7"/>
  <c r="J105" i="7"/>
  <c r="I105" i="7" a="1"/>
  <c r="I105" i="7" s="1"/>
  <c r="L104" i="7"/>
  <c r="J104" i="7"/>
  <c r="I104" i="7" a="1"/>
  <c r="I104" i="7" s="1"/>
  <c r="I111" i="7" s="1" a="1"/>
  <c r="I111" i="7" s="1"/>
  <c r="B104" i="7"/>
  <c r="L103" i="7"/>
  <c r="J103" i="7"/>
  <c r="I103" i="7" a="1"/>
  <c r="I103" i="7" s="1"/>
  <c r="E103" i="7"/>
  <c r="L102" i="7"/>
  <c r="J102" i="7"/>
  <c r="I102" i="7" a="1"/>
  <c r="I102" i="7" s="1"/>
  <c r="L101" i="7"/>
  <c r="K101" i="7"/>
  <c r="J101" i="7"/>
  <c r="I101" i="7"/>
  <c r="H101" i="7"/>
  <c r="G101" i="7"/>
  <c r="B92" i="7"/>
  <c r="G92" i="7" s="1"/>
  <c r="K92" i="7" s="1"/>
  <c r="L92" i="7" s="1"/>
  <c r="K91" i="7"/>
  <c r="L91" i="7" s="1"/>
  <c r="G91" i="7"/>
  <c r="B91" i="7"/>
  <c r="K90" i="7"/>
  <c r="L90" i="7" s="1"/>
  <c r="C90" i="7"/>
  <c r="B90" i="7"/>
  <c r="C91" i="7" s="1" a="1"/>
  <c r="C91" i="7" s="1"/>
  <c r="G89" i="7"/>
  <c r="K89" i="7" s="1"/>
  <c r="L89" i="7" s="1"/>
  <c r="C89" i="7" a="1"/>
  <c r="C89" i="7" s="1"/>
  <c r="B89" i="7"/>
  <c r="G88" i="7" a="1"/>
  <c r="G88" i="7" s="1"/>
  <c r="K88" i="7" s="1"/>
  <c r="L88" i="7" s="1"/>
  <c r="C88" i="7"/>
  <c r="K87" i="7"/>
  <c r="L87" i="7" s="1"/>
  <c r="G87" i="7"/>
  <c r="C87" i="7"/>
  <c r="K86" i="7"/>
  <c r="L86" i="7" s="1"/>
  <c r="G86" i="7"/>
  <c r="C86" i="7"/>
  <c r="K85" i="7"/>
  <c r="L85" i="7" s="1"/>
  <c r="G85" i="7"/>
  <c r="C85" i="7" a="1"/>
  <c r="C85" i="7" s="1"/>
  <c r="K84" i="7"/>
  <c r="L84" i="7" s="1"/>
  <c r="G84" i="7"/>
  <c r="C84" i="7"/>
  <c r="G83" i="7"/>
  <c r="K83" i="7" s="1"/>
  <c r="L83" i="7" s="1"/>
  <c r="C83" i="7" a="1"/>
  <c r="C83" i="7" s="1"/>
  <c r="G82" i="7"/>
  <c r="K82" i="7" s="1"/>
  <c r="L82" i="7" s="1"/>
  <c r="C82" i="7" a="1"/>
  <c r="C82" i="7" s="1"/>
  <c r="G81" i="7"/>
  <c r="K81" i="7" s="1"/>
  <c r="L81" i="7" s="1"/>
  <c r="C81" i="7" a="1"/>
  <c r="C81" i="7" s="1"/>
  <c r="B81" i="7"/>
  <c r="G80" i="7"/>
  <c r="C79" i="7"/>
  <c r="K78" i="7"/>
  <c r="L78" i="7" s="1"/>
  <c r="C78" i="7" a="1"/>
  <c r="C78" i="7" s="1"/>
  <c r="G77" i="7"/>
  <c r="K77" i="7" s="1"/>
  <c r="L77" i="7" s="1"/>
  <c r="C77" i="7" a="1"/>
  <c r="C77" i="7" s="1"/>
  <c r="C76" i="7"/>
  <c r="G74" i="7"/>
  <c r="C74" i="7"/>
  <c r="B72" i="7"/>
  <c r="D70" i="7" a="1"/>
  <c r="D70" i="7" s="1"/>
  <c r="D68" i="7" a="1"/>
  <c r="D68" i="7" s="1"/>
  <c r="C68" i="7"/>
  <c r="B68" i="7"/>
  <c r="D66" i="7"/>
  <c r="K93" i="7" s="1"/>
  <c r="L93" i="7" s="1"/>
  <c r="H64" i="7" a="1"/>
  <c r="H64" i="7" s="1"/>
  <c r="G64" i="7" a="1"/>
  <c r="G64" i="7" s="1"/>
  <c r="J64" i="7" s="1"/>
  <c r="D64" i="7"/>
  <c r="L63" i="7"/>
  <c r="J63" i="7"/>
  <c r="I63" i="7" a="1"/>
  <c r="I63" i="7" s="1"/>
  <c r="D63" i="7" a="1"/>
  <c r="D63" i="7" s="1"/>
  <c r="L62" i="7"/>
  <c r="J62" i="7"/>
  <c r="I62" i="7" a="1"/>
  <c r="I62" i="7" s="1"/>
  <c r="L61" i="7"/>
  <c r="J61" i="7"/>
  <c r="I61" i="7" a="1"/>
  <c r="I61" i="7" s="1"/>
  <c r="L60" i="7"/>
  <c r="J60" i="7"/>
  <c r="I60" i="7" a="1"/>
  <c r="I60" i="7" s="1"/>
  <c r="B60" i="7" a="1"/>
  <c r="B60" i="7" s="1"/>
  <c r="L59" i="7"/>
  <c r="J59" i="7"/>
  <c r="I59" i="7" a="1"/>
  <c r="I59" i="7" s="1"/>
  <c r="L58" i="7"/>
  <c r="J58" i="7"/>
  <c r="I58" i="7" a="1"/>
  <c r="I58" i="7" s="1"/>
  <c r="L57" i="7"/>
  <c r="J57" i="7"/>
  <c r="I57" i="7" a="1"/>
  <c r="I57" i="7" s="1"/>
  <c r="I64" i="7" s="1" a="1"/>
  <c r="I64" i="7" s="1"/>
  <c r="B57" i="7"/>
  <c r="L56" i="7"/>
  <c r="J56" i="7"/>
  <c r="I56" i="7" a="1"/>
  <c r="I56" i="7" s="1"/>
  <c r="E56" i="7"/>
  <c r="L55" i="7"/>
  <c r="J55" i="7"/>
  <c r="I55" i="7" a="1"/>
  <c r="I55" i="7" s="1"/>
  <c r="L54" i="7"/>
  <c r="K54" i="7"/>
  <c r="J54" i="7"/>
  <c r="I54" i="7"/>
  <c r="H54" i="7"/>
  <c r="G54" i="7"/>
  <c r="J28" i="13" l="1"/>
  <c r="K28" i="13" s="1"/>
  <c r="J27" i="13"/>
  <c r="K27" i="13" s="1"/>
  <c r="J42" i="13"/>
  <c r="K42" i="13" s="1"/>
  <c r="J78" i="13"/>
  <c r="K78" i="13" s="1"/>
  <c r="J93" i="13"/>
  <c r="K93" i="13" s="1"/>
  <c r="J79" i="13"/>
  <c r="K79" i="13" s="1"/>
  <c r="I67" i="13"/>
  <c r="J68" i="13"/>
  <c r="J69" i="13" s="1"/>
  <c r="K69" i="13" s="1"/>
  <c r="I16" i="13"/>
  <c r="K89" i="13"/>
  <c r="C99" i="13" a="1"/>
  <c r="C99" i="13" s="1"/>
  <c r="F151" i="13"/>
  <c r="J151" i="13" s="1"/>
  <c r="K151" i="13" s="1"/>
  <c r="K272" i="13"/>
  <c r="J333" i="13"/>
  <c r="K333" i="13" s="1"/>
  <c r="J348" i="13"/>
  <c r="K348" i="13" s="1"/>
  <c r="J334" i="13"/>
  <c r="K334" i="13" s="1"/>
  <c r="K373" i="13"/>
  <c r="J374" i="13"/>
  <c r="J375" i="13" s="1"/>
  <c r="K375" i="13" s="1"/>
  <c r="J41" i="13"/>
  <c r="K41" i="13" s="1"/>
  <c r="J169" i="13"/>
  <c r="K169" i="13" s="1"/>
  <c r="K170" i="13" s="1"/>
  <c r="J204" i="13"/>
  <c r="K204" i="13" s="1"/>
  <c r="D122" i="13"/>
  <c r="I169" i="13"/>
  <c r="J323" i="13"/>
  <c r="J324" i="13" s="1"/>
  <c r="K324" i="13" s="1"/>
  <c r="I322" i="13"/>
  <c r="I475" i="13"/>
  <c r="K476" i="13"/>
  <c r="J476" i="13"/>
  <c r="J477" i="13" s="1"/>
  <c r="K477" i="13" s="1"/>
  <c r="K119" i="13"/>
  <c r="D173" i="13"/>
  <c r="I271" i="13"/>
  <c r="C47" i="13"/>
  <c r="F98" i="13"/>
  <c r="J150" i="13"/>
  <c r="K150" i="13" s="1"/>
  <c r="I150" i="13"/>
  <c r="K374" i="13"/>
  <c r="J538" i="13"/>
  <c r="K538" i="13" s="1"/>
  <c r="J537" i="13"/>
  <c r="K537" i="13" s="1"/>
  <c r="J552" i="13"/>
  <c r="K552" i="13" s="1"/>
  <c r="J16" i="13"/>
  <c r="K16" i="13" s="1"/>
  <c r="K17" i="13" s="1"/>
  <c r="F47" i="13"/>
  <c r="I98" i="13"/>
  <c r="D275" i="13"/>
  <c r="D377" i="13"/>
  <c r="I220" i="13"/>
  <c r="J221" i="13"/>
  <c r="J222" i="13" s="1"/>
  <c r="K222" i="13" s="1"/>
  <c r="I253" i="13"/>
  <c r="F253" i="13"/>
  <c r="J253" i="13" s="1"/>
  <c r="K253" i="13" s="1"/>
  <c r="J149" i="13"/>
  <c r="K149" i="13" s="1"/>
  <c r="I201" i="13"/>
  <c r="J220" i="13"/>
  <c r="K220" i="13" s="1"/>
  <c r="K221" i="13" s="1"/>
  <c r="J296" i="13"/>
  <c r="K296" i="13" s="1"/>
  <c r="J353" i="13"/>
  <c r="K353" i="13" s="1"/>
  <c r="I405" i="13"/>
  <c r="J408" i="13"/>
  <c r="K408" i="13" s="1"/>
  <c r="J475" i="13"/>
  <c r="K475" i="13" s="1"/>
  <c r="J551" i="13"/>
  <c r="K551" i="13" s="1"/>
  <c r="I557" i="13"/>
  <c r="J557" i="13"/>
  <c r="K557" i="13" s="1"/>
  <c r="C608" i="13"/>
  <c r="J608" i="13"/>
  <c r="K608" i="13" s="1"/>
  <c r="I608" i="13"/>
  <c r="F608" i="13"/>
  <c r="F661" i="13"/>
  <c r="J661" i="13" s="1"/>
  <c r="K661" i="13" s="1"/>
  <c r="D836" i="13"/>
  <c r="D479" i="13"/>
  <c r="K578" i="13"/>
  <c r="F609" i="13"/>
  <c r="J609" i="13"/>
  <c r="K609" i="13" s="1"/>
  <c r="I609" i="13"/>
  <c r="D734" i="13"/>
  <c r="J807" i="13"/>
  <c r="K807" i="13" s="1"/>
  <c r="J793" i="13"/>
  <c r="K793" i="13" s="1"/>
  <c r="J792" i="13"/>
  <c r="K792" i="13" s="1"/>
  <c r="I934" i="13"/>
  <c r="D224" i="13"/>
  <c r="J244" i="13"/>
  <c r="K244" i="13" s="1"/>
  <c r="J255" i="13"/>
  <c r="K255" i="13" s="1"/>
  <c r="J271" i="13"/>
  <c r="K271" i="13" s="1"/>
  <c r="D428" i="13"/>
  <c r="J448" i="13"/>
  <c r="K448" i="13" s="1"/>
  <c r="I628" i="13"/>
  <c r="C302" i="13"/>
  <c r="J425" i="13"/>
  <c r="J426" i="13" s="1"/>
  <c r="K426" i="13" s="1"/>
  <c r="D581" i="13"/>
  <c r="F302" i="13"/>
  <c r="J578" i="13"/>
  <c r="J579" i="13" s="1"/>
  <c r="K579" i="13" s="1"/>
  <c r="J660" i="13"/>
  <c r="K660" i="13" s="1"/>
  <c r="I660" i="13"/>
  <c r="F660" i="13"/>
  <c r="J731" i="13"/>
  <c r="J732" i="13" s="1"/>
  <c r="K732" i="13" s="1"/>
  <c r="I730" i="13"/>
  <c r="J945" i="13"/>
  <c r="K945" i="13" s="1"/>
  <c r="J960" i="13"/>
  <c r="K960" i="13" s="1"/>
  <c r="J946" i="13"/>
  <c r="K946" i="13" s="1"/>
  <c r="J510" i="13"/>
  <c r="K510" i="13" s="1"/>
  <c r="K527" i="13"/>
  <c r="I526" i="13"/>
  <c r="K935" i="13"/>
  <c r="J346" i="13"/>
  <c r="K346" i="13" s="1"/>
  <c r="F353" i="13"/>
  <c r="I354" i="13"/>
  <c r="F457" i="13"/>
  <c r="J457" i="13" s="1"/>
  <c r="K457" i="13" s="1"/>
  <c r="D683" i="13"/>
  <c r="J895" i="13"/>
  <c r="K895" i="13" s="1"/>
  <c r="J894" i="13"/>
  <c r="K894" i="13" s="1"/>
  <c r="J909" i="13"/>
  <c r="K909" i="13" s="1"/>
  <c r="D632" i="13"/>
  <c r="J714" i="13"/>
  <c r="K714" i="13" s="1"/>
  <c r="J679" i="13"/>
  <c r="K679" i="13" s="1"/>
  <c r="K680" i="13" s="1"/>
  <c r="K731" i="13"/>
  <c r="J628" i="13"/>
  <c r="K628" i="13" s="1"/>
  <c r="K629" i="13" s="1"/>
  <c r="J761" i="13"/>
  <c r="K761" i="13" s="1"/>
  <c r="J805" i="13"/>
  <c r="K805" i="13" s="1"/>
  <c r="F812" i="13"/>
  <c r="I813" i="13"/>
  <c r="J832" i="13"/>
  <c r="F864" i="13"/>
  <c r="J934" i="13"/>
  <c r="K934" i="13" s="1"/>
  <c r="J969" i="13"/>
  <c r="K969" i="13" s="1"/>
  <c r="J959" i="13"/>
  <c r="K959" i="13" s="1"/>
  <c r="J1020" i="13"/>
  <c r="K1020" i="13" s="1"/>
  <c r="J985" i="13"/>
  <c r="J1088" i="13"/>
  <c r="J1089" i="13" s="1"/>
  <c r="K1089" i="13" s="1"/>
  <c r="I1087" i="13"/>
  <c r="I1120" i="13"/>
  <c r="F1120" i="13"/>
  <c r="J1120" i="13" s="1"/>
  <c r="K1120" i="13" s="1"/>
  <c r="I812" i="13"/>
  <c r="J813" i="13"/>
  <c r="K813" i="13" s="1"/>
  <c r="I864" i="13"/>
  <c r="J867" i="13"/>
  <c r="K867" i="13" s="1"/>
  <c r="J883" i="13"/>
  <c r="C914" i="13"/>
  <c r="F915" i="13"/>
  <c r="J1138" i="13"/>
  <c r="J1173" i="13"/>
  <c r="K1173" i="13" s="1"/>
  <c r="I1324" i="13"/>
  <c r="F1324" i="13"/>
  <c r="J1324" i="13" s="1"/>
  <c r="K1324" i="13" s="1"/>
  <c r="J663" i="13"/>
  <c r="K663" i="13" s="1"/>
  <c r="J755" i="13"/>
  <c r="K755" i="13" s="1"/>
  <c r="J812" i="13"/>
  <c r="K812" i="13" s="1"/>
  <c r="F914" i="13"/>
  <c r="I915" i="13"/>
  <c r="I967" i="13"/>
  <c r="D1040" i="13"/>
  <c r="C762" i="13" a="1"/>
  <c r="C762" i="13" s="1"/>
  <c r="J1010" i="13"/>
  <c r="K1010" i="13" s="1"/>
  <c r="I1189" i="13"/>
  <c r="J1190" i="13"/>
  <c r="J1241" i="13"/>
  <c r="I1240" i="13"/>
  <c r="D1091" i="13"/>
  <c r="J754" i="13"/>
  <c r="K754" i="13" s="1"/>
  <c r="F761" i="13"/>
  <c r="K956" i="13"/>
  <c r="I1036" i="13"/>
  <c r="D1193" i="13"/>
  <c r="J1456" i="13"/>
  <c r="K1456" i="13" s="1"/>
  <c r="J1455" i="13"/>
  <c r="K1455" i="13" s="1"/>
  <c r="J1470" i="13"/>
  <c r="K1470" i="13" s="1"/>
  <c r="D1142" i="13"/>
  <c r="I1170" i="13"/>
  <c r="J1275" i="13"/>
  <c r="K1275" i="13" s="1"/>
  <c r="J1240" i="13"/>
  <c r="K1240" i="13" s="1"/>
  <c r="J1418" i="13"/>
  <c r="K1418" i="13" s="1"/>
  <c r="D989" i="13"/>
  <c r="F1016" i="13"/>
  <c r="J1265" i="13"/>
  <c r="K1265" i="13" s="1"/>
  <c r="J1342" i="13"/>
  <c r="K1342" i="13" s="1"/>
  <c r="J1377" i="13"/>
  <c r="K1377" i="13" s="1"/>
  <c r="J1507" i="13"/>
  <c r="K1507" i="13" s="1"/>
  <c r="J1506" i="13"/>
  <c r="K1506" i="13" s="1"/>
  <c r="K1292" i="13"/>
  <c r="D1295" i="13"/>
  <c r="I1393" i="13"/>
  <c r="J1394" i="13"/>
  <c r="J1395" i="13" s="1"/>
  <c r="K1395" i="13" s="1"/>
  <c r="J1496" i="13"/>
  <c r="J1497" i="13" s="1"/>
  <c r="K1497" i="13" s="1"/>
  <c r="I1495" i="13"/>
  <c r="J1521" i="13"/>
  <c r="K1521" i="13" s="1"/>
  <c r="J1060" i="13"/>
  <c r="K1060" i="13" s="1"/>
  <c r="F1067" i="13"/>
  <c r="I1068" i="13"/>
  <c r="F1171" i="13"/>
  <c r="J1171" i="13" s="1"/>
  <c r="K1171" i="13" s="1"/>
  <c r="I1067" i="13"/>
  <c r="C1118" i="13"/>
  <c r="F1119" i="13"/>
  <c r="J1242" i="13"/>
  <c r="K1242" i="13" s="1"/>
  <c r="K1343" i="13"/>
  <c r="F1118" i="13"/>
  <c r="I1119" i="13"/>
  <c r="K1241" i="13"/>
  <c r="J1292" i="13"/>
  <c r="J1293" i="13" s="1"/>
  <c r="K1293" i="13" s="1"/>
  <c r="I1291" i="13"/>
  <c r="D1346" i="13"/>
  <c r="J1191" i="13"/>
  <c r="K1191" i="13" s="1"/>
  <c r="D1244" i="13"/>
  <c r="J1343" i="13"/>
  <c r="J1344" i="13" s="1"/>
  <c r="K1344" i="13" s="1"/>
  <c r="K1394" i="13"/>
  <c r="J1322" i="13"/>
  <c r="K1322" i="13" s="1"/>
  <c r="F1373" i="13"/>
  <c r="I1374" i="13"/>
  <c r="J1393" i="13"/>
  <c r="K1393" i="13" s="1"/>
  <c r="J1469" i="13"/>
  <c r="K1469" i="13" s="1"/>
  <c r="J1530" i="13"/>
  <c r="K1530" i="13" s="1"/>
  <c r="D1652" i="13"/>
  <c r="J1751" i="13"/>
  <c r="J1752" i="13" s="1"/>
  <c r="K1752" i="13" s="1"/>
  <c r="I1750" i="13"/>
  <c r="J1782" i="13"/>
  <c r="K1782" i="13" s="1"/>
  <c r="I1782" i="13"/>
  <c r="F1782" i="13"/>
  <c r="I1801" i="13"/>
  <c r="K1874" i="13"/>
  <c r="J1876" i="13"/>
  <c r="K1876" i="13" s="1"/>
  <c r="J1316" i="13"/>
  <c r="K1316" i="13" s="1"/>
  <c r="D1397" i="13"/>
  <c r="J1417" i="13"/>
  <c r="K1417" i="13" s="1"/>
  <c r="I1425" i="13"/>
  <c r="J1577" i="13"/>
  <c r="K1577" i="13" s="1"/>
  <c r="F1577" i="13"/>
  <c r="C1577" i="13"/>
  <c r="J1775" i="13"/>
  <c r="K1775" i="13" s="1"/>
  <c r="J1878" i="13"/>
  <c r="K1878" i="13" s="1"/>
  <c r="J1864" i="13"/>
  <c r="K1864" i="13" s="1"/>
  <c r="J1863" i="13"/>
  <c r="K1863" i="13" s="1"/>
  <c r="C1475" i="13"/>
  <c r="J1519" i="13"/>
  <c r="K1519" i="13" s="1"/>
  <c r="K1546" i="13"/>
  <c r="K1547" i="13" s="1"/>
  <c r="I1630" i="13"/>
  <c r="F1630" i="13"/>
  <c r="J1630" i="13" s="1"/>
  <c r="K1630" i="13" s="1"/>
  <c r="K1700" i="13"/>
  <c r="J2016" i="13"/>
  <c r="K2016" i="13" s="1"/>
  <c r="J2031" i="13"/>
  <c r="K2031" i="13" s="1"/>
  <c r="J2017" i="13"/>
  <c r="K2017" i="13" s="1"/>
  <c r="J1468" i="13"/>
  <c r="K1468" i="13" s="1"/>
  <c r="F1475" i="13"/>
  <c r="J1683" i="13"/>
  <c r="K1683" i="13" s="1"/>
  <c r="J1648" i="13"/>
  <c r="I1475" i="13"/>
  <c r="J1520" i="13"/>
  <c r="K1520" i="13" s="1"/>
  <c r="C1578" i="13" a="1"/>
  <c r="C1578" i="13" s="1"/>
  <c r="J1609" i="13"/>
  <c r="K1609" i="13" s="1"/>
  <c r="J1608" i="13"/>
  <c r="K1608" i="13" s="1"/>
  <c r="J1623" i="13"/>
  <c r="K1623" i="13" s="1"/>
  <c r="I1699" i="13"/>
  <c r="J1700" i="13"/>
  <c r="J1701" i="13" s="1"/>
  <c r="K1701" i="13" s="1"/>
  <c r="F1322" i="13"/>
  <c r="I1323" i="13"/>
  <c r="F1426" i="13"/>
  <c r="J1426" i="13" s="1"/>
  <c r="K1426" i="13" s="1"/>
  <c r="I1528" i="13"/>
  <c r="I1903" i="13"/>
  <c r="J1904" i="13"/>
  <c r="J1905" i="13" s="1"/>
  <c r="K1905" i="13" s="1"/>
  <c r="J1548" i="13"/>
  <c r="K1548" i="13" s="1"/>
  <c r="J1598" i="13"/>
  <c r="J1599" i="13" s="1"/>
  <c r="K1599" i="13" s="1"/>
  <c r="I1597" i="13"/>
  <c r="J1622" i="13"/>
  <c r="K1622" i="13" s="1"/>
  <c r="D1703" i="13"/>
  <c r="J1723" i="13"/>
  <c r="K1723" i="13" s="1"/>
  <c r="J1774" i="13"/>
  <c r="K1774" i="13" s="1"/>
  <c r="C1935" i="13" a="1"/>
  <c r="C1935" i="13" s="1"/>
  <c r="J1934" i="13"/>
  <c r="K1934" i="13" s="1"/>
  <c r="I1934" i="13"/>
  <c r="F1934" i="13"/>
  <c r="C1934" i="13"/>
  <c r="I1954" i="13"/>
  <c r="D1550" i="13"/>
  <c r="I1852" i="13"/>
  <c r="J1853" i="13"/>
  <c r="J1854" i="13" s="1"/>
  <c r="K1854" i="13" s="1"/>
  <c r="K1955" i="13"/>
  <c r="F1629" i="13"/>
  <c r="F1732" i="13"/>
  <c r="J1732" i="13" s="1"/>
  <c r="K1732" i="13" s="1"/>
  <c r="J1986" i="13"/>
  <c r="K1986" i="13" s="1"/>
  <c r="I1986" i="13"/>
  <c r="F1986" i="13"/>
  <c r="J2006" i="13"/>
  <c r="J2007" i="13" s="1"/>
  <c r="K2007" i="13" s="1"/>
  <c r="I2005" i="13"/>
  <c r="F1628" i="13"/>
  <c r="I1629" i="13"/>
  <c r="D1754" i="13"/>
  <c r="J1801" i="13"/>
  <c r="J1877" i="13"/>
  <c r="K1877" i="13" s="1"/>
  <c r="J1915" i="13"/>
  <c r="K1915" i="13" s="1"/>
  <c r="J1914" i="13"/>
  <c r="K1914" i="13" s="1"/>
  <c r="J1929" i="13"/>
  <c r="K1929" i="13" s="1"/>
  <c r="I1628" i="13"/>
  <c r="F1680" i="13"/>
  <c r="K1904" i="13"/>
  <c r="D1958" i="13"/>
  <c r="J1699" i="13"/>
  <c r="K1699" i="13" s="1"/>
  <c r="D1805" i="13"/>
  <c r="J1826" i="13"/>
  <c r="K1826" i="13" s="1"/>
  <c r="I1935" i="13"/>
  <c r="J1954" i="13"/>
  <c r="K1954" i="13" s="1"/>
  <c r="J2030" i="13"/>
  <c r="K2030" i="13" s="1"/>
  <c r="F2038" i="13"/>
  <c r="J2038" i="13" s="1"/>
  <c r="K2038" i="13" s="1"/>
  <c r="C2037" i="13" a="1"/>
  <c r="C2037" i="13" s="1"/>
  <c r="C2036" i="13"/>
  <c r="F2037" i="13"/>
  <c r="J2029" i="13"/>
  <c r="K2029" i="13" s="1"/>
  <c r="F2036" i="13"/>
  <c r="I2037" i="13"/>
  <c r="L266" i="7"/>
  <c r="K252" i="7"/>
  <c r="K206" i="7"/>
  <c r="K207" i="7" s="1"/>
  <c r="L207" i="7" s="1"/>
  <c r="L206" i="7"/>
  <c r="L172" i="7"/>
  <c r="L125" i="7"/>
  <c r="K111" i="7"/>
  <c r="K64" i="7"/>
  <c r="K79" i="7"/>
  <c r="L79" i="7" s="1"/>
  <c r="K263" i="7"/>
  <c r="L263" i="7" s="1"/>
  <c r="K262" i="7"/>
  <c r="L262" i="7" s="1"/>
  <c r="K264" i="7"/>
  <c r="L264" i="7" s="1"/>
  <c r="K268" i="7"/>
  <c r="L268" i="7" s="1"/>
  <c r="G278" i="7"/>
  <c r="D206" i="7"/>
  <c r="K221" i="7"/>
  <c r="L221" i="7" s="1"/>
  <c r="G231" i="7"/>
  <c r="K169" i="7"/>
  <c r="L169" i="7" s="1"/>
  <c r="K168" i="7"/>
  <c r="L168" i="7" s="1"/>
  <c r="K170" i="7"/>
  <c r="L170" i="7" s="1"/>
  <c r="L159" i="7"/>
  <c r="J158" i="7"/>
  <c r="K174" i="7"/>
  <c r="L174" i="7" s="1"/>
  <c r="K158" i="7"/>
  <c r="L158" i="7" s="1"/>
  <c r="D112" i="7"/>
  <c r="K127" i="7"/>
  <c r="L127" i="7" s="1"/>
  <c r="G137" i="7"/>
  <c r="D65" i="7"/>
  <c r="K80" i="7"/>
  <c r="L80" i="7" s="1"/>
  <c r="G90" i="7"/>
  <c r="D16" i="7" a="1"/>
  <c r="D16" i="7" s="1"/>
  <c r="D19" i="7"/>
  <c r="B21" i="7"/>
  <c r="H17" i="7" a="1"/>
  <c r="H17" i="7" s="1"/>
  <c r="J1302" i="13" l="1"/>
  <c r="K1302" i="13" s="1"/>
  <c r="J1317" i="13"/>
  <c r="K1317" i="13" s="1"/>
  <c r="J1303" i="13"/>
  <c r="K1303" i="13" s="1"/>
  <c r="J1098" i="13"/>
  <c r="K1098" i="13" s="1"/>
  <c r="J1113" i="13"/>
  <c r="K1113" i="13" s="1"/>
  <c r="J1099" i="13"/>
  <c r="K1099" i="13" s="1"/>
  <c r="J986" i="13"/>
  <c r="J987" i="13" s="1"/>
  <c r="K987" i="13" s="1"/>
  <c r="K985" i="13"/>
  <c r="K986" i="13" s="1"/>
  <c r="J629" i="13"/>
  <c r="J630" i="13" s="1"/>
  <c r="K630" i="13" s="1"/>
  <c r="J935" i="13"/>
  <c r="J936" i="13" s="1"/>
  <c r="K936" i="13" s="1"/>
  <c r="J1812" i="13"/>
  <c r="K1812" i="13" s="1"/>
  <c r="J1813" i="13"/>
  <c r="K1813" i="13" s="1"/>
  <c r="J1827" i="13"/>
  <c r="K1827" i="13" s="1"/>
  <c r="J1558" i="13"/>
  <c r="K1558" i="13" s="1"/>
  <c r="J1557" i="13"/>
  <c r="K1557" i="13" s="1"/>
  <c r="J1572" i="13"/>
  <c r="K1572" i="13" s="1"/>
  <c r="J1659" i="13"/>
  <c r="K1659" i="13" s="1"/>
  <c r="J1674" i="13"/>
  <c r="K1674" i="13" s="1"/>
  <c r="J1660" i="13"/>
  <c r="K1660" i="13" s="1"/>
  <c r="J1048" i="13"/>
  <c r="K1048" i="13" s="1"/>
  <c r="J1047" i="13"/>
  <c r="K1047" i="13" s="1"/>
  <c r="J1062" i="13"/>
  <c r="K1062" i="13" s="1"/>
  <c r="J639" i="13"/>
  <c r="K639" i="13" s="1"/>
  <c r="J654" i="13"/>
  <c r="K654" i="13" s="1"/>
  <c r="J640" i="13"/>
  <c r="K640" i="13" s="1"/>
  <c r="J272" i="13"/>
  <c r="J273" i="13" s="1"/>
  <c r="K273" i="13" s="1"/>
  <c r="J1252" i="13"/>
  <c r="K1252" i="13" s="1"/>
  <c r="J1251" i="13"/>
  <c r="K1251" i="13" s="1"/>
  <c r="J1266" i="13"/>
  <c r="K1266" i="13" s="1"/>
  <c r="J997" i="13"/>
  <c r="K997" i="13" s="1"/>
  <c r="J996" i="13"/>
  <c r="K996" i="13" s="1"/>
  <c r="J1011" i="13"/>
  <c r="K1011" i="13" s="1"/>
  <c r="J399" i="13"/>
  <c r="K399" i="13" s="1"/>
  <c r="J385" i="13"/>
  <c r="K385" i="13" s="1"/>
  <c r="J384" i="13"/>
  <c r="K384" i="13" s="1"/>
  <c r="J1966" i="13"/>
  <c r="K1966" i="13" s="1"/>
  <c r="J1965" i="13"/>
  <c r="K1965" i="13" s="1"/>
  <c r="J1980" i="13"/>
  <c r="K1980" i="13" s="1"/>
  <c r="K1801" i="13"/>
  <c r="K1802" i="13" s="1"/>
  <c r="J1802" i="13"/>
  <c r="J1803" i="13" s="1"/>
  <c r="K1803" i="13" s="1"/>
  <c r="J680" i="13"/>
  <c r="J681" i="13" s="1"/>
  <c r="K681" i="13" s="1"/>
  <c r="J436" i="13"/>
  <c r="K436" i="13" s="1"/>
  <c r="J435" i="13"/>
  <c r="K435" i="13" s="1"/>
  <c r="J450" i="13"/>
  <c r="K450" i="13" s="1"/>
  <c r="J487" i="13"/>
  <c r="K487" i="13" s="1"/>
  <c r="J501" i="13"/>
  <c r="K501" i="13" s="1"/>
  <c r="J486" i="13"/>
  <c r="K486" i="13" s="1"/>
  <c r="J283" i="13"/>
  <c r="K283" i="13" s="1"/>
  <c r="J282" i="13"/>
  <c r="K282" i="13" s="1"/>
  <c r="J297" i="13"/>
  <c r="K297" i="13" s="1"/>
  <c r="J195" i="13"/>
  <c r="K195" i="13" s="1"/>
  <c r="J180" i="13"/>
  <c r="K180" i="13" s="1"/>
  <c r="J181" i="13"/>
  <c r="K181" i="13" s="1"/>
  <c r="J170" i="13"/>
  <c r="J171" i="13" s="1"/>
  <c r="K171" i="13" s="1"/>
  <c r="K1648" i="13"/>
  <c r="K1649" i="13" s="1"/>
  <c r="J1649" i="13"/>
  <c r="J1650" i="13" s="1"/>
  <c r="K1650" i="13" s="1"/>
  <c r="J1955" i="13"/>
  <c r="J1956" i="13" s="1"/>
  <c r="K1956" i="13" s="1"/>
  <c r="J1711" i="13"/>
  <c r="K1711" i="13" s="1"/>
  <c r="J1710" i="13"/>
  <c r="K1710" i="13" s="1"/>
  <c r="J1725" i="13"/>
  <c r="K1725" i="13" s="1"/>
  <c r="J1215" i="13"/>
  <c r="K1215" i="13" s="1"/>
  <c r="J1201" i="13"/>
  <c r="K1201" i="13" s="1"/>
  <c r="J1200" i="13"/>
  <c r="K1200" i="13" s="1"/>
  <c r="J1762" i="13"/>
  <c r="K1762" i="13" s="1"/>
  <c r="J1761" i="13"/>
  <c r="K1761" i="13" s="1"/>
  <c r="J1776" i="13"/>
  <c r="K1776" i="13" s="1"/>
  <c r="J1368" i="13"/>
  <c r="K1368" i="13" s="1"/>
  <c r="J1354" i="13"/>
  <c r="K1354" i="13" s="1"/>
  <c r="J1353" i="13"/>
  <c r="K1353" i="13" s="1"/>
  <c r="K1138" i="13"/>
  <c r="K1139" i="13" s="1"/>
  <c r="J1139" i="13"/>
  <c r="J1140" i="13" s="1"/>
  <c r="K1140" i="13" s="1"/>
  <c r="J603" i="13"/>
  <c r="K603" i="13" s="1"/>
  <c r="J589" i="13"/>
  <c r="K589" i="13" s="1"/>
  <c r="J588" i="13"/>
  <c r="K588" i="13" s="1"/>
  <c r="J844" i="13"/>
  <c r="K844" i="13" s="1"/>
  <c r="J843" i="13"/>
  <c r="K843" i="13" s="1"/>
  <c r="J858" i="13"/>
  <c r="K858" i="13" s="1"/>
  <c r="J17" i="13"/>
  <c r="J18" i="13" s="1"/>
  <c r="K18" i="13" s="1"/>
  <c r="J691" i="13"/>
  <c r="K691" i="13" s="1"/>
  <c r="J705" i="13"/>
  <c r="K705" i="13" s="1"/>
  <c r="J690" i="13"/>
  <c r="K690" i="13" s="1"/>
  <c r="J129" i="13"/>
  <c r="K129" i="13" s="1"/>
  <c r="J130" i="13"/>
  <c r="K130" i="13" s="1"/>
  <c r="J144" i="13"/>
  <c r="K144" i="13" s="1"/>
  <c r="J1405" i="13"/>
  <c r="K1405" i="13" s="1"/>
  <c r="J1404" i="13"/>
  <c r="K1404" i="13" s="1"/>
  <c r="J1419" i="13"/>
  <c r="K1419" i="13" s="1"/>
  <c r="J741" i="13"/>
  <c r="K741" i="13" s="1"/>
  <c r="J742" i="13"/>
  <c r="K742" i="13" s="1"/>
  <c r="J756" i="13"/>
  <c r="K756" i="13" s="1"/>
  <c r="J1164" i="13"/>
  <c r="K1164" i="13" s="1"/>
  <c r="J1150" i="13"/>
  <c r="K1150" i="13" s="1"/>
  <c r="J1149" i="13"/>
  <c r="K1149" i="13" s="1"/>
  <c r="J884" i="13"/>
  <c r="J885" i="13" s="1"/>
  <c r="K885" i="13" s="1"/>
  <c r="K883" i="13"/>
  <c r="K884" i="13" s="1"/>
  <c r="J833" i="13"/>
  <c r="J834" i="13" s="1"/>
  <c r="K834" i="13" s="1"/>
  <c r="K832" i="13"/>
  <c r="K833" i="13" s="1"/>
  <c r="J232" i="13"/>
  <c r="K232" i="13" s="1"/>
  <c r="J231" i="13"/>
  <c r="K231" i="13" s="1"/>
  <c r="J246" i="13"/>
  <c r="K246" i="13" s="1"/>
  <c r="L252" i="7"/>
  <c r="L253" i="7" s="1"/>
  <c r="K253" i="7"/>
  <c r="K254" i="7" s="1"/>
  <c r="L254" i="7" s="1"/>
  <c r="L111" i="7"/>
  <c r="L112" i="7" s="1"/>
  <c r="K112" i="7"/>
  <c r="K113" i="7" s="1"/>
  <c r="L113" i="7" s="1"/>
  <c r="L64" i="7"/>
  <c r="L65" i="7" s="1"/>
  <c r="K65" i="7"/>
  <c r="K66" i="7" s="1"/>
  <c r="L66" i="7" s="1"/>
  <c r="K216" i="7"/>
  <c r="L216" i="7" s="1"/>
  <c r="K215" i="7"/>
  <c r="L215" i="7" s="1"/>
  <c r="K217" i="7"/>
  <c r="L217" i="7" s="1"/>
  <c r="K159" i="7"/>
  <c r="K160" i="7" s="1"/>
  <c r="L160" i="7" s="1"/>
  <c r="K122" i="7"/>
  <c r="L122" i="7" s="1"/>
  <c r="K121" i="7"/>
  <c r="L121" i="7" s="1"/>
  <c r="K123" i="7"/>
  <c r="L123" i="7" s="1"/>
  <c r="K75" i="7"/>
  <c r="L75" i="7" s="1"/>
  <c r="K74" i="7"/>
  <c r="L74" i="7" s="1"/>
  <c r="K76" i="7"/>
  <c r="L76" i="7" s="1"/>
  <c r="D23" i="7" a="1"/>
  <c r="D23" i="7" s="1"/>
  <c r="G7" i="7"/>
  <c r="K27" i="10" l="1"/>
  <c r="G27" i="10"/>
  <c r="G32" i="10"/>
  <c r="G28" i="10"/>
  <c r="G26" i="10"/>
  <c r="G164" i="10"/>
  <c r="G33" i="7"/>
  <c r="K33" i="7"/>
  <c r="K31" i="7" l="1"/>
  <c r="G41" i="7" a="1"/>
  <c r="G41" i="7" s="1"/>
  <c r="J16" i="7"/>
  <c r="I16" i="7" a="1"/>
  <c r="I16" i="7" s="1"/>
  <c r="J15" i="7"/>
  <c r="I15" i="7" a="1"/>
  <c r="I15" i="7" s="1"/>
  <c r="J14" i="7"/>
  <c r="I14" i="7" a="1"/>
  <c r="I14" i="7" s="1"/>
  <c r="J13" i="7"/>
  <c r="I13" i="7" a="1"/>
  <c r="I13" i="7" s="1"/>
  <c r="J12" i="7"/>
  <c r="I12" i="7" a="1"/>
  <c r="I12" i="7" s="1"/>
  <c r="J11" i="7"/>
  <c r="I11" i="7" a="1"/>
  <c r="I11" i="7" s="1"/>
  <c r="J10" i="7"/>
  <c r="J9" i="7"/>
  <c r="J8" i="7"/>
  <c r="I8" i="7" a="1"/>
  <c r="I8" i="7" s="1"/>
  <c r="G42" i="7"/>
  <c r="B245" i="6" l="1" a="1"/>
  <c r="B245" i="6" s="1"/>
  <c r="B199" i="6" a="1"/>
  <c r="B199" i="6" s="1"/>
  <c r="B153" i="6" a="1"/>
  <c r="B153" i="6" s="1"/>
  <c r="B107" i="6" a="1"/>
  <c r="B107" i="6" s="1"/>
  <c r="B61" i="6" a="1"/>
  <c r="B61" i="6" s="1"/>
  <c r="B15" i="6" a="1"/>
  <c r="B15" i="6" s="1"/>
  <c r="B245" i="10" a="1"/>
  <c r="B245" i="10" s="1"/>
  <c r="B199" i="10" a="1"/>
  <c r="B199" i="10" s="1"/>
  <c r="B153" i="10" a="1"/>
  <c r="B153" i="10" s="1"/>
  <c r="B107" i="10" a="1"/>
  <c r="B107" i="10" s="1"/>
  <c r="B61" i="10" a="1"/>
  <c r="B61" i="10" s="1"/>
  <c r="B15" i="10" a="1"/>
  <c r="B15" i="10" s="1"/>
  <c r="B13" i="7" a="1"/>
  <c r="B13" i="7" s="1"/>
  <c r="L8" i="7" l="1"/>
  <c r="D22" i="10" l="1" a="1"/>
  <c r="D22" i="10" s="1"/>
  <c r="E147" i="10"/>
  <c r="E101" i="10"/>
  <c r="E193" i="10" l="1"/>
  <c r="E55" i="10"/>
  <c r="G266" i="10" l="1" a="1"/>
  <c r="G266" i="10" s="1"/>
  <c r="G265" i="10"/>
  <c r="G264" i="10" a="1"/>
  <c r="G264" i="10" s="1"/>
  <c r="G263" i="10"/>
  <c r="G220" i="10" a="1"/>
  <c r="G220" i="10" s="1"/>
  <c r="G219" i="10"/>
  <c r="G218" i="10" a="1"/>
  <c r="G218" i="10" s="1"/>
  <c r="G217" i="10"/>
  <c r="G174" i="10" a="1"/>
  <c r="G174" i="10" s="1"/>
  <c r="G173" i="10"/>
  <c r="G172" i="10" a="1"/>
  <c r="G172" i="10" s="1"/>
  <c r="G171" i="10"/>
  <c r="G175" i="10" a="1"/>
  <c r="G175" i="10" s="1"/>
  <c r="G176" i="10"/>
  <c r="G177" i="10"/>
  <c r="G130" i="10"/>
  <c r="G129" i="10" a="1"/>
  <c r="G129" i="10" s="1"/>
  <c r="G128" i="10" a="1"/>
  <c r="G128" i="10" s="1"/>
  <c r="G127" i="10"/>
  <c r="G126" i="10" a="1"/>
  <c r="G126" i="10" s="1"/>
  <c r="G125" i="10"/>
  <c r="G84" i="10"/>
  <c r="G83" i="10" a="1"/>
  <c r="G83" i="10" s="1"/>
  <c r="G82" i="10" a="1"/>
  <c r="G82" i="10" s="1"/>
  <c r="G81" i="10"/>
  <c r="G80" i="10" a="1"/>
  <c r="G80" i="10" s="1"/>
  <c r="G79" i="10"/>
  <c r="G36" i="10" a="1"/>
  <c r="G36" i="10" s="1"/>
  <c r="G35" i="10"/>
  <c r="G34" i="10" a="1"/>
  <c r="G34" i="10" s="1"/>
  <c r="G33" i="10"/>
  <c r="E239" i="10"/>
  <c r="D22" i="6" l="1" a="1"/>
  <c r="D22" i="6" s="1"/>
  <c r="C42" i="7" l="1" a="1"/>
  <c r="C42" i="7" s="1"/>
  <c r="C41" i="7"/>
  <c r="C40" i="7"/>
  <c r="C39" i="7"/>
  <c r="C38" i="7" a="1"/>
  <c r="C38" i="7" s="1"/>
  <c r="C37" i="7"/>
  <c r="C36" i="7" a="1"/>
  <c r="C36" i="7" s="1"/>
  <c r="C35" i="7" a="1"/>
  <c r="C35" i="7" s="1"/>
  <c r="C34" i="7" a="1"/>
  <c r="C34" i="7" s="1"/>
  <c r="J269" i="10" l="1"/>
  <c r="G269" i="10"/>
  <c r="K269" i="10" s="1"/>
  <c r="K268" i="10"/>
  <c r="J268" i="10"/>
  <c r="G268" i="10"/>
  <c r="K267" i="10"/>
  <c r="J267" i="10"/>
  <c r="G267" i="10" a="1"/>
  <c r="G267" i="10" s="1"/>
  <c r="K266" i="10"/>
  <c r="J266" i="10"/>
  <c r="K265" i="10"/>
  <c r="J265" i="10"/>
  <c r="J264" i="10"/>
  <c r="K264" i="10"/>
  <c r="J263" i="10"/>
  <c r="K263" i="10"/>
  <c r="J262" i="10"/>
  <c r="G262" i="10"/>
  <c r="K262" i="10" s="1"/>
  <c r="J261" i="10"/>
  <c r="G261" i="10"/>
  <c r="K261" i="10" s="1"/>
  <c r="J260" i="10"/>
  <c r="G260" i="10"/>
  <c r="K260" i="10" s="1"/>
  <c r="J259" i="10"/>
  <c r="G259" i="10"/>
  <c r="J258" i="10"/>
  <c r="G258" i="10"/>
  <c r="K258" i="10" s="1"/>
  <c r="G257" i="10"/>
  <c r="G256" i="10"/>
  <c r="J223" i="10"/>
  <c r="G223" i="10"/>
  <c r="K223" i="10" s="1"/>
  <c r="K222" i="10"/>
  <c r="J222" i="10"/>
  <c r="G222" i="10"/>
  <c r="K221" i="10"/>
  <c r="J221" i="10"/>
  <c r="G221" i="10" a="1"/>
  <c r="G221" i="10" s="1"/>
  <c r="J220" i="10"/>
  <c r="K220" i="10"/>
  <c r="J219" i="10"/>
  <c r="K219" i="10"/>
  <c r="J218" i="10"/>
  <c r="K218" i="10"/>
  <c r="J217" i="10"/>
  <c r="K217" i="10"/>
  <c r="J216" i="10"/>
  <c r="G216" i="10"/>
  <c r="K216" i="10" s="1"/>
  <c r="J215" i="10"/>
  <c r="G215" i="10"/>
  <c r="K215" i="10" s="1"/>
  <c r="J214" i="10"/>
  <c r="G214" i="10"/>
  <c r="K214" i="10" s="1"/>
  <c r="J213" i="10"/>
  <c r="G213" i="10"/>
  <c r="J212" i="10"/>
  <c r="G212" i="10"/>
  <c r="K212" i="10" s="1"/>
  <c r="G211" i="10"/>
  <c r="G210" i="10"/>
  <c r="J177" i="10"/>
  <c r="K177" i="10"/>
  <c r="K176" i="10"/>
  <c r="J176" i="10"/>
  <c r="K175" i="10"/>
  <c r="J175" i="10"/>
  <c r="K174" i="10"/>
  <c r="J174" i="10"/>
  <c r="K173" i="10"/>
  <c r="J173" i="10"/>
  <c r="J172" i="10"/>
  <c r="K172" i="10"/>
  <c r="J171" i="10"/>
  <c r="K171" i="10"/>
  <c r="K170" i="10"/>
  <c r="J170" i="10"/>
  <c r="G170" i="10"/>
  <c r="J169" i="10"/>
  <c r="G169" i="10"/>
  <c r="K169" i="10" s="1"/>
  <c r="J168" i="10"/>
  <c r="G168" i="10"/>
  <c r="K168" i="10" s="1"/>
  <c r="J167" i="10"/>
  <c r="G167" i="10"/>
  <c r="J166" i="10"/>
  <c r="G166" i="10"/>
  <c r="K166" i="10" s="1"/>
  <c r="G165" i="10"/>
  <c r="J131" i="10"/>
  <c r="G131" i="10"/>
  <c r="K131" i="10" s="1"/>
  <c r="K130" i="10"/>
  <c r="J130" i="10"/>
  <c r="K129" i="10"/>
  <c r="J129" i="10"/>
  <c r="J128" i="10"/>
  <c r="K128" i="10"/>
  <c r="K127" i="10"/>
  <c r="J127" i="10"/>
  <c r="J126" i="10"/>
  <c r="K126" i="10"/>
  <c r="J125" i="10"/>
  <c r="K125" i="10"/>
  <c r="J124" i="10"/>
  <c r="G124" i="10"/>
  <c r="K124" i="10" s="1"/>
  <c r="J123" i="10"/>
  <c r="G123" i="10"/>
  <c r="K123" i="10" s="1"/>
  <c r="J122" i="10"/>
  <c r="G122" i="10"/>
  <c r="K122" i="10" s="1"/>
  <c r="J121" i="10"/>
  <c r="G121" i="10"/>
  <c r="J120" i="10"/>
  <c r="G120" i="10"/>
  <c r="K120" i="10" s="1"/>
  <c r="G119" i="10"/>
  <c r="G118" i="10"/>
  <c r="J85" i="10"/>
  <c r="G85" i="10"/>
  <c r="K85" i="10" s="1"/>
  <c r="K84" i="10"/>
  <c r="J84" i="10"/>
  <c r="J83" i="10"/>
  <c r="J82" i="10"/>
  <c r="K82" i="10"/>
  <c r="J81" i="10"/>
  <c r="K81" i="10"/>
  <c r="J80" i="10"/>
  <c r="K80" i="10"/>
  <c r="J79" i="10"/>
  <c r="K79" i="10"/>
  <c r="J78" i="10"/>
  <c r="G78" i="10"/>
  <c r="K78" i="10" s="1"/>
  <c r="J77" i="10"/>
  <c r="G77" i="10"/>
  <c r="J76" i="10"/>
  <c r="G76" i="10"/>
  <c r="K76" i="10" s="1"/>
  <c r="K77" i="10" s="1"/>
  <c r="J75" i="10"/>
  <c r="G75" i="10"/>
  <c r="J74" i="10"/>
  <c r="G74" i="10"/>
  <c r="G73" i="10"/>
  <c r="G72" i="10"/>
  <c r="J39" i="10"/>
  <c r="G39" i="10"/>
  <c r="K39" i="10" s="1"/>
  <c r="K38" i="10"/>
  <c r="J38" i="10"/>
  <c r="G38" i="10"/>
  <c r="K37" i="10"/>
  <c r="J37" i="10"/>
  <c r="G37" i="10" a="1"/>
  <c r="G37" i="10" s="1"/>
  <c r="J36" i="10"/>
  <c r="K36" i="10"/>
  <c r="J35" i="10"/>
  <c r="K35" i="10"/>
  <c r="J34" i="10"/>
  <c r="K34" i="10"/>
  <c r="J33" i="10"/>
  <c r="K33" i="10"/>
  <c r="J32" i="10"/>
  <c r="K32" i="10"/>
  <c r="J31" i="10"/>
  <c r="G31" i="10"/>
  <c r="K31" i="10" s="1"/>
  <c r="J30" i="10"/>
  <c r="G30" i="10"/>
  <c r="K30" i="10" s="1"/>
  <c r="J29" i="10"/>
  <c r="G29" i="10"/>
  <c r="J28" i="10"/>
  <c r="K28" i="10"/>
  <c r="K269" i="6"/>
  <c r="J269" i="6"/>
  <c r="G269" i="6"/>
  <c r="K268" i="6"/>
  <c r="J268" i="6"/>
  <c r="G268" i="6"/>
  <c r="K267" i="6"/>
  <c r="J267" i="6"/>
  <c r="G267" i="6" a="1"/>
  <c r="G267" i="6" s="1"/>
  <c r="K266" i="6"/>
  <c r="J266" i="6"/>
  <c r="G266" i="6" a="1"/>
  <c r="G266" i="6" s="1"/>
  <c r="K265" i="6"/>
  <c r="J265" i="6"/>
  <c r="G265" i="6"/>
  <c r="K264" i="6"/>
  <c r="J264" i="6"/>
  <c r="G264" i="6"/>
  <c r="K263" i="6"/>
  <c r="J263" i="6"/>
  <c r="G263" i="6"/>
  <c r="K262" i="6"/>
  <c r="J262" i="6"/>
  <c r="G262" i="6"/>
  <c r="K261" i="6"/>
  <c r="J261" i="6"/>
  <c r="G261" i="6"/>
  <c r="K260" i="6"/>
  <c r="J260" i="6"/>
  <c r="G260" i="6"/>
  <c r="K259" i="6"/>
  <c r="J259" i="6"/>
  <c r="G259" i="6"/>
  <c r="K258" i="6"/>
  <c r="J258" i="6"/>
  <c r="G258" i="6"/>
  <c r="K257" i="6"/>
  <c r="G257" i="6"/>
  <c r="K256" i="6"/>
  <c r="G256" i="6"/>
  <c r="K223" i="6"/>
  <c r="J223" i="6"/>
  <c r="G223" i="6"/>
  <c r="K222" i="6"/>
  <c r="J222" i="6"/>
  <c r="G222" i="6"/>
  <c r="K221" i="6"/>
  <c r="J221" i="6"/>
  <c r="G221" i="6"/>
  <c r="G221" i="6" a="1"/>
  <c r="J220" i="6"/>
  <c r="G220" i="6" a="1"/>
  <c r="G220" i="6" s="1"/>
  <c r="K220" i="6" s="1"/>
  <c r="J219" i="6"/>
  <c r="G219" i="6"/>
  <c r="K219" i="6" s="1"/>
  <c r="J218" i="6"/>
  <c r="G218" i="6"/>
  <c r="K218" i="6" s="1"/>
  <c r="J217" i="6"/>
  <c r="G217" i="6"/>
  <c r="K217" i="6" s="1"/>
  <c r="J216" i="6"/>
  <c r="G216" i="6"/>
  <c r="K216" i="6" s="1"/>
  <c r="J215" i="6"/>
  <c r="G215" i="6"/>
  <c r="K215" i="6" s="1"/>
  <c r="J214" i="6"/>
  <c r="G214" i="6"/>
  <c r="K214" i="6" s="1"/>
  <c r="J213" i="6"/>
  <c r="G213" i="6"/>
  <c r="J212" i="6"/>
  <c r="G212" i="6"/>
  <c r="K212" i="6" s="1"/>
  <c r="G211" i="6"/>
  <c r="G210" i="6"/>
  <c r="J177" i="6"/>
  <c r="G177" i="6"/>
  <c r="K177" i="6" s="1"/>
  <c r="K176" i="6"/>
  <c r="J176" i="6"/>
  <c r="G176" i="6"/>
  <c r="K175" i="6"/>
  <c r="J175" i="6"/>
  <c r="G175" i="6" a="1"/>
  <c r="G175" i="6" s="1"/>
  <c r="J174" i="6"/>
  <c r="G174" i="6" a="1"/>
  <c r="G174" i="6" s="1"/>
  <c r="K174" i="6" s="1"/>
  <c r="J173" i="6"/>
  <c r="G173" i="6"/>
  <c r="K173" i="6" s="1"/>
  <c r="K172" i="6"/>
  <c r="J172" i="6"/>
  <c r="G172" i="6"/>
  <c r="J171" i="6"/>
  <c r="G171" i="6"/>
  <c r="K171" i="6" s="1"/>
  <c r="J170" i="6"/>
  <c r="G170" i="6"/>
  <c r="K170" i="6" s="1"/>
  <c r="K169" i="6"/>
  <c r="J169" i="6"/>
  <c r="G169" i="6"/>
  <c r="J168" i="6"/>
  <c r="G168" i="6"/>
  <c r="K168" i="6" s="1"/>
  <c r="J167" i="6"/>
  <c r="G167" i="6"/>
  <c r="K166" i="6"/>
  <c r="J166" i="6"/>
  <c r="G166" i="6"/>
  <c r="G165" i="6"/>
  <c r="G164" i="6"/>
  <c r="J131" i="6"/>
  <c r="G131" i="6"/>
  <c r="K131" i="6" s="1"/>
  <c r="K130" i="6"/>
  <c r="J130" i="6"/>
  <c r="G130" i="6"/>
  <c r="J129" i="6"/>
  <c r="G129" i="6" a="1"/>
  <c r="G129" i="6" s="1"/>
  <c r="J128" i="6"/>
  <c r="G128" i="6"/>
  <c r="K128" i="6" s="1"/>
  <c r="G128" i="6" a="1"/>
  <c r="J127" i="6"/>
  <c r="G127" i="6"/>
  <c r="K127" i="6" s="1"/>
  <c r="J126" i="6"/>
  <c r="G126" i="6"/>
  <c r="K126" i="6" s="1"/>
  <c r="J125" i="6"/>
  <c r="G125" i="6"/>
  <c r="K125" i="6" s="1"/>
  <c r="K124" i="6"/>
  <c r="J124" i="6"/>
  <c r="G124" i="6"/>
  <c r="K123" i="6"/>
  <c r="J123" i="6"/>
  <c r="G123" i="6"/>
  <c r="K122" i="6"/>
  <c r="J122" i="6"/>
  <c r="G122" i="6"/>
  <c r="J121" i="6"/>
  <c r="G121" i="6"/>
  <c r="K121" i="6" s="1"/>
  <c r="J120" i="6"/>
  <c r="G120" i="6"/>
  <c r="G119" i="6"/>
  <c r="G118" i="6"/>
  <c r="J85" i="6"/>
  <c r="G85" i="6"/>
  <c r="K85" i="6" s="1"/>
  <c r="K84" i="6"/>
  <c r="J84" i="6"/>
  <c r="G84" i="6"/>
  <c r="J83" i="6"/>
  <c r="G83" i="6" a="1"/>
  <c r="G83" i="6" s="1"/>
  <c r="J82" i="6"/>
  <c r="G82" i="6"/>
  <c r="K82" i="6" s="1"/>
  <c r="G82" i="6" a="1"/>
  <c r="J81" i="6"/>
  <c r="G81" i="6"/>
  <c r="K81" i="6" s="1"/>
  <c r="J80" i="6"/>
  <c r="G80" i="6"/>
  <c r="K80" i="6" s="1"/>
  <c r="J79" i="6"/>
  <c r="G79" i="6"/>
  <c r="K79" i="6" s="1"/>
  <c r="K78" i="6"/>
  <c r="J78" i="6"/>
  <c r="G78" i="6"/>
  <c r="J77" i="6"/>
  <c r="G77" i="6"/>
  <c r="K76" i="6"/>
  <c r="K77" i="6" s="1"/>
  <c r="J76" i="6"/>
  <c r="G76" i="6"/>
  <c r="J75" i="6"/>
  <c r="G75" i="6"/>
  <c r="K75" i="6" s="1"/>
  <c r="J74" i="6"/>
  <c r="G74" i="6"/>
  <c r="G73" i="6"/>
  <c r="G72" i="6"/>
  <c r="J39" i="6"/>
  <c r="G39" i="6"/>
  <c r="K39" i="6" s="1"/>
  <c r="K38" i="6"/>
  <c r="J38" i="6"/>
  <c r="G38" i="6"/>
  <c r="J37" i="6"/>
  <c r="G37" i="6" a="1"/>
  <c r="G37" i="6" s="1"/>
  <c r="J36" i="6"/>
  <c r="G36" i="6" a="1"/>
  <c r="G36" i="6" s="1"/>
  <c r="K36" i="6" s="1"/>
  <c r="J35" i="6"/>
  <c r="G35" i="6"/>
  <c r="K35" i="6" s="1"/>
  <c r="J34" i="6"/>
  <c r="G34" i="6"/>
  <c r="K34" i="6" s="1"/>
  <c r="J33" i="6"/>
  <c r="G33" i="6"/>
  <c r="K33" i="6" s="1"/>
  <c r="K32" i="6"/>
  <c r="J32" i="6"/>
  <c r="G32" i="6"/>
  <c r="J31" i="6"/>
  <c r="G31" i="6"/>
  <c r="K30" i="6"/>
  <c r="K31" i="6" s="1"/>
  <c r="J30" i="6"/>
  <c r="G30" i="6"/>
  <c r="J29" i="6"/>
  <c r="G29" i="6"/>
  <c r="K29" i="6" s="1"/>
  <c r="J28" i="6"/>
  <c r="G28" i="6"/>
  <c r="G27" i="6"/>
  <c r="G26" i="6"/>
  <c r="J272" i="10"/>
  <c r="J271" i="10"/>
  <c r="J270" i="10"/>
  <c r="J226" i="10"/>
  <c r="J225" i="10"/>
  <c r="J224" i="10"/>
  <c r="J180" i="10"/>
  <c r="J179" i="10"/>
  <c r="J178" i="10"/>
  <c r="J134" i="10"/>
  <c r="J133" i="10"/>
  <c r="J132" i="10"/>
  <c r="J88" i="10"/>
  <c r="J87" i="10"/>
  <c r="J86" i="10"/>
  <c r="J42" i="10"/>
  <c r="J41" i="10"/>
  <c r="J40" i="10"/>
  <c r="K272" i="6"/>
  <c r="J272" i="6"/>
  <c r="K271" i="6"/>
  <c r="J271" i="6"/>
  <c r="K270" i="6"/>
  <c r="J270" i="6"/>
  <c r="J226" i="6"/>
  <c r="J225" i="6"/>
  <c r="J224" i="6"/>
  <c r="J180" i="6"/>
  <c r="J179" i="6"/>
  <c r="J178" i="6"/>
  <c r="J134" i="6"/>
  <c r="J133" i="6"/>
  <c r="J132" i="6"/>
  <c r="J88" i="6"/>
  <c r="J87" i="6"/>
  <c r="J86" i="6"/>
  <c r="J42" i="6"/>
  <c r="J41" i="6"/>
  <c r="J40" i="6"/>
  <c r="B272" i="10" l="1"/>
  <c r="G272" i="10" s="1"/>
  <c r="K272" i="10" s="1"/>
  <c r="C271" i="10"/>
  <c r="B271" i="10"/>
  <c r="B270" i="10"/>
  <c r="C270" i="10" s="1"/>
  <c r="C269" i="10" a="1"/>
  <c r="C269" i="10" s="1"/>
  <c r="B269" i="10"/>
  <c r="C268" i="10"/>
  <c r="B268" i="10"/>
  <c r="C267" i="10"/>
  <c r="B267" i="10"/>
  <c r="C266" i="10"/>
  <c r="B266" i="10"/>
  <c r="C265" i="10"/>
  <c r="B265" i="10"/>
  <c r="C264" i="10"/>
  <c r="B264" i="10"/>
  <c r="C263" i="10" a="1"/>
  <c r="C263" i="10" s="1"/>
  <c r="B263" i="10"/>
  <c r="C262" i="10"/>
  <c r="B262" i="10"/>
  <c r="C261" i="10"/>
  <c r="B261" i="10"/>
  <c r="C260" i="10" a="1"/>
  <c r="C260" i="10" s="1"/>
  <c r="B260" i="10"/>
  <c r="C259" i="10" a="1"/>
  <c r="C259" i="10" s="1"/>
  <c r="B259" i="10"/>
  <c r="C258" i="10" a="1"/>
  <c r="C258" i="10" s="1"/>
  <c r="B258" i="10"/>
  <c r="C256" i="10"/>
  <c r="B256" i="10"/>
  <c r="B226" i="10"/>
  <c r="G226" i="10" s="1"/>
  <c r="K226" i="10" s="1"/>
  <c r="B225" i="10"/>
  <c r="B224" i="10"/>
  <c r="K224" i="10" s="1"/>
  <c r="C223" i="10" a="1"/>
  <c r="C223" i="10" s="1"/>
  <c r="B223" i="10"/>
  <c r="C222" i="10"/>
  <c r="B222" i="10"/>
  <c r="C221" i="10"/>
  <c r="B221" i="10"/>
  <c r="C220" i="10"/>
  <c r="B220" i="10"/>
  <c r="C219" i="10"/>
  <c r="B219" i="10"/>
  <c r="C218" i="10"/>
  <c r="B218" i="10"/>
  <c r="C217" i="10" a="1"/>
  <c r="C217" i="10" s="1"/>
  <c r="B217" i="10"/>
  <c r="C216" i="10"/>
  <c r="B216" i="10"/>
  <c r="C215" i="10"/>
  <c r="B215" i="10"/>
  <c r="C214" i="10" a="1"/>
  <c r="C214" i="10" s="1"/>
  <c r="B214" i="10"/>
  <c r="C213" i="10" a="1"/>
  <c r="C213" i="10" s="1"/>
  <c r="B213" i="10"/>
  <c r="C212" i="10" a="1"/>
  <c r="C212" i="10" s="1"/>
  <c r="B212" i="10"/>
  <c r="C210" i="10"/>
  <c r="B210" i="10"/>
  <c r="B180" i="10"/>
  <c r="G180" i="10" s="1"/>
  <c r="K180" i="10" s="1"/>
  <c r="C179" i="10"/>
  <c r="B179" i="10"/>
  <c r="B178" i="10"/>
  <c r="C177" i="10" a="1"/>
  <c r="C177" i="10" s="1"/>
  <c r="B177" i="10"/>
  <c r="C176" i="10"/>
  <c r="B176" i="10"/>
  <c r="C175" i="10"/>
  <c r="B175" i="10"/>
  <c r="C174" i="10"/>
  <c r="B174" i="10"/>
  <c r="C173" i="10"/>
  <c r="B173" i="10"/>
  <c r="C172" i="10"/>
  <c r="B172" i="10"/>
  <c r="C171" i="10" a="1"/>
  <c r="C171" i="10" s="1"/>
  <c r="B171" i="10"/>
  <c r="C170" i="10"/>
  <c r="B170" i="10"/>
  <c r="C169" i="10"/>
  <c r="B169" i="10"/>
  <c r="C168" i="10" a="1"/>
  <c r="C168" i="10" s="1"/>
  <c r="B168" i="10"/>
  <c r="C167" i="10" a="1"/>
  <c r="C167" i="10" s="1"/>
  <c r="B167" i="10"/>
  <c r="C166" i="10" a="1"/>
  <c r="C166" i="10" s="1"/>
  <c r="B166" i="10"/>
  <c r="C164" i="10"/>
  <c r="B164" i="10"/>
  <c r="B134" i="10"/>
  <c r="G134" i="10" s="1"/>
  <c r="K134" i="10" s="1"/>
  <c r="B133" i="10"/>
  <c r="B132" i="10"/>
  <c r="C132" i="10" s="1"/>
  <c r="C131" i="10" a="1"/>
  <c r="C131" i="10" s="1"/>
  <c r="B131" i="10"/>
  <c r="C130" i="10"/>
  <c r="B130" i="10"/>
  <c r="C129" i="10"/>
  <c r="B129" i="10"/>
  <c r="C128" i="10"/>
  <c r="B128" i="10"/>
  <c r="C127" i="10"/>
  <c r="B127" i="10"/>
  <c r="C126" i="10"/>
  <c r="B126" i="10"/>
  <c r="C125" i="10" a="1"/>
  <c r="C125" i="10" s="1"/>
  <c r="B125" i="10"/>
  <c r="C124" i="10"/>
  <c r="B124" i="10"/>
  <c r="C123" i="10"/>
  <c r="B123" i="10"/>
  <c r="C122" i="10" a="1"/>
  <c r="C122" i="10" s="1"/>
  <c r="B122" i="10"/>
  <c r="C121" i="10" a="1"/>
  <c r="C121" i="10" s="1"/>
  <c r="B121" i="10"/>
  <c r="C120" i="10" a="1"/>
  <c r="C120" i="10" s="1"/>
  <c r="B120" i="10"/>
  <c r="C118" i="10"/>
  <c r="B118" i="10"/>
  <c r="B88" i="10"/>
  <c r="G88" i="10" s="1"/>
  <c r="K88" i="10" s="1"/>
  <c r="B87" i="10"/>
  <c r="B86" i="10"/>
  <c r="C85" i="10" a="1"/>
  <c r="C85" i="10" s="1"/>
  <c r="B85" i="10"/>
  <c r="C84" i="10"/>
  <c r="B84" i="10"/>
  <c r="C83" i="10"/>
  <c r="B83" i="10"/>
  <c r="C82" i="10"/>
  <c r="B82" i="10"/>
  <c r="C81" i="10"/>
  <c r="B81" i="10"/>
  <c r="C80" i="10"/>
  <c r="B80" i="10"/>
  <c r="C79" i="10" a="1"/>
  <c r="C79" i="10" s="1"/>
  <c r="B79" i="10"/>
  <c r="C78" i="10"/>
  <c r="B78" i="10"/>
  <c r="C77" i="10"/>
  <c r="B77" i="10"/>
  <c r="C76" i="10" a="1"/>
  <c r="C76" i="10" s="1"/>
  <c r="B76" i="10"/>
  <c r="C75" i="10" a="1"/>
  <c r="C75" i="10" s="1"/>
  <c r="B75" i="10"/>
  <c r="C74" i="10" a="1"/>
  <c r="C74" i="10" s="1"/>
  <c r="B74" i="10"/>
  <c r="C72" i="10"/>
  <c r="B72" i="10"/>
  <c r="B42" i="10"/>
  <c r="G42" i="10" s="1"/>
  <c r="K42" i="10" s="1"/>
  <c r="C41" i="10"/>
  <c r="B41" i="10"/>
  <c r="B40" i="10"/>
  <c r="C39" i="10" a="1"/>
  <c r="C39" i="10" s="1"/>
  <c r="B39" i="10"/>
  <c r="C38" i="10"/>
  <c r="B38" i="10"/>
  <c r="C37" i="10"/>
  <c r="B37" i="10"/>
  <c r="C36" i="10"/>
  <c r="B36" i="10"/>
  <c r="C35" i="10"/>
  <c r="B35" i="10"/>
  <c r="C34" i="10"/>
  <c r="B34" i="10"/>
  <c r="C33" i="10" a="1"/>
  <c r="C33" i="10" s="1"/>
  <c r="B33" i="10"/>
  <c r="C32" i="10"/>
  <c r="B32" i="10"/>
  <c r="C31" i="10"/>
  <c r="B31" i="10"/>
  <c r="C30" i="10" a="1"/>
  <c r="C30" i="10" s="1"/>
  <c r="B30" i="10"/>
  <c r="C29" i="10" a="1"/>
  <c r="C29" i="10" s="1"/>
  <c r="B29" i="10"/>
  <c r="C28" i="10" a="1"/>
  <c r="C28" i="10" s="1"/>
  <c r="B28" i="10"/>
  <c r="C26" i="10"/>
  <c r="B26" i="10"/>
  <c r="B272" i="6"/>
  <c r="G272" i="6" s="1"/>
  <c r="C271" i="6"/>
  <c r="B271" i="6"/>
  <c r="G271" i="6" s="1"/>
  <c r="C270" i="6"/>
  <c r="B270" i="6"/>
  <c r="G270" i="6" s="1"/>
  <c r="C269" i="6" a="1"/>
  <c r="C269" i="6" s="1"/>
  <c r="B269" i="6"/>
  <c r="C268" i="6"/>
  <c r="B268" i="6"/>
  <c r="C267" i="6"/>
  <c r="B267" i="6"/>
  <c r="C266" i="6"/>
  <c r="B266" i="6"/>
  <c r="C265" i="6"/>
  <c r="B265" i="6"/>
  <c r="C264" i="6"/>
  <c r="B264" i="6"/>
  <c r="C263" i="6" a="1"/>
  <c r="C263" i="6" s="1"/>
  <c r="B263" i="6"/>
  <c r="C262" i="6"/>
  <c r="B262" i="6"/>
  <c r="C261" i="6"/>
  <c r="B261" i="6"/>
  <c r="C260" i="6"/>
  <c r="C260" i="6" a="1"/>
  <c r="B260" i="6"/>
  <c r="C259" i="6"/>
  <c r="C259" i="6" a="1"/>
  <c r="B259" i="6"/>
  <c r="C258" i="6" a="1"/>
  <c r="C258" i="6" s="1"/>
  <c r="B258" i="6"/>
  <c r="C256" i="6"/>
  <c r="B256" i="6"/>
  <c r="B226" i="6"/>
  <c r="G226" i="6" s="1"/>
  <c r="K226" i="6" s="1"/>
  <c r="B225" i="6"/>
  <c r="B224" i="6"/>
  <c r="C223" i="6" a="1"/>
  <c r="C223" i="6" s="1"/>
  <c r="B223" i="6"/>
  <c r="C222" i="6"/>
  <c r="B222" i="6"/>
  <c r="C221" i="6"/>
  <c r="B221" i="6"/>
  <c r="C220" i="6"/>
  <c r="B220" i="6"/>
  <c r="C219" i="6"/>
  <c r="B219" i="6"/>
  <c r="C218" i="6"/>
  <c r="B218" i="6"/>
  <c r="C217" i="6" a="1"/>
  <c r="C217" i="6" s="1"/>
  <c r="B217" i="6"/>
  <c r="C216" i="6"/>
  <c r="B216" i="6"/>
  <c r="C215" i="6"/>
  <c r="B215" i="6"/>
  <c r="C214" i="6" a="1"/>
  <c r="C214" i="6" s="1"/>
  <c r="B214" i="6"/>
  <c r="C213" i="6" a="1"/>
  <c r="C213" i="6" s="1"/>
  <c r="B213" i="6"/>
  <c r="C212" i="6" a="1"/>
  <c r="C212" i="6" s="1"/>
  <c r="B212" i="6"/>
  <c r="C210" i="6"/>
  <c r="B210" i="6"/>
  <c r="B180" i="6"/>
  <c r="G180" i="6" s="1"/>
  <c r="K180" i="6" s="1"/>
  <c r="B179" i="6"/>
  <c r="B178" i="6"/>
  <c r="C177" i="6" a="1"/>
  <c r="C177" i="6" s="1"/>
  <c r="B177" i="6"/>
  <c r="C176" i="6"/>
  <c r="B176" i="6"/>
  <c r="C175" i="6"/>
  <c r="B175" i="6"/>
  <c r="C174" i="6"/>
  <c r="B174" i="6"/>
  <c r="C173" i="6"/>
  <c r="B173" i="6"/>
  <c r="C172" i="6"/>
  <c r="B172" i="6"/>
  <c r="C171" i="6" a="1"/>
  <c r="C171" i="6" s="1"/>
  <c r="B171" i="6"/>
  <c r="C170" i="6"/>
  <c r="B170" i="6"/>
  <c r="C169" i="6"/>
  <c r="B169" i="6"/>
  <c r="C168" i="6" a="1"/>
  <c r="C168" i="6" s="1"/>
  <c r="B168" i="6"/>
  <c r="C167" i="6"/>
  <c r="C167" i="6" a="1"/>
  <c r="B167" i="6"/>
  <c r="C166" i="6" a="1"/>
  <c r="C166" i="6" s="1"/>
  <c r="B166" i="6"/>
  <c r="C164" i="6"/>
  <c r="B164" i="6"/>
  <c r="B134" i="6"/>
  <c r="G134" i="6" s="1"/>
  <c r="K134" i="6" s="1"/>
  <c r="C133" i="6"/>
  <c r="B133" i="6"/>
  <c r="C132" i="6"/>
  <c r="B132" i="6"/>
  <c r="C131" i="6" a="1"/>
  <c r="C131" i="6" s="1"/>
  <c r="B131" i="6"/>
  <c r="C130" i="6"/>
  <c r="B130" i="6"/>
  <c r="C129" i="6"/>
  <c r="B129" i="6"/>
  <c r="C128" i="6"/>
  <c r="B128" i="6"/>
  <c r="C127" i="6"/>
  <c r="B127" i="6"/>
  <c r="C126" i="6"/>
  <c r="B126" i="6"/>
  <c r="C125" i="6" a="1"/>
  <c r="C125" i="6" s="1"/>
  <c r="B125" i="6"/>
  <c r="C124" i="6"/>
  <c r="B124" i="6"/>
  <c r="C123" i="6"/>
  <c r="B123" i="6"/>
  <c r="C122" i="6" a="1"/>
  <c r="C122" i="6" s="1"/>
  <c r="B122" i="6"/>
  <c r="C121" i="6" a="1"/>
  <c r="C121" i="6" s="1"/>
  <c r="B121" i="6"/>
  <c r="C120" i="6" a="1"/>
  <c r="C120" i="6" s="1"/>
  <c r="B120" i="6"/>
  <c r="C118" i="6"/>
  <c r="B118" i="6"/>
  <c r="B88" i="6"/>
  <c r="G88" i="6" s="1"/>
  <c r="K88" i="6" s="1"/>
  <c r="C87" i="6"/>
  <c r="B87" i="6"/>
  <c r="B86" i="6"/>
  <c r="C85" i="6" a="1"/>
  <c r="C85" i="6" s="1"/>
  <c r="B85" i="6"/>
  <c r="C84" i="6"/>
  <c r="B84" i="6"/>
  <c r="C83" i="6"/>
  <c r="B83" i="6"/>
  <c r="C82" i="6"/>
  <c r="B82" i="6"/>
  <c r="C81" i="6"/>
  <c r="B81" i="6"/>
  <c r="C80" i="6"/>
  <c r="B80" i="6"/>
  <c r="C79" i="6" a="1"/>
  <c r="C79" i="6" s="1"/>
  <c r="B79" i="6"/>
  <c r="C78" i="6"/>
  <c r="B78" i="6"/>
  <c r="C77" i="6"/>
  <c r="B77" i="6"/>
  <c r="C76" i="6" a="1"/>
  <c r="C76" i="6" s="1"/>
  <c r="B76" i="6"/>
  <c r="C75" i="6" a="1"/>
  <c r="C75" i="6" s="1"/>
  <c r="B75" i="6"/>
  <c r="C74" i="6" a="1"/>
  <c r="C74" i="6" s="1"/>
  <c r="B74" i="6"/>
  <c r="C72" i="6"/>
  <c r="B72" i="6"/>
  <c r="C30" i="6" a="1"/>
  <c r="C30" i="6" s="1"/>
  <c r="C31" i="6"/>
  <c r="C29" i="6" a="1"/>
  <c r="C29" i="6" s="1"/>
  <c r="G271" i="10" l="1"/>
  <c r="K271" i="10"/>
  <c r="C40" i="10"/>
  <c r="K40" i="10"/>
  <c r="G40" i="10"/>
  <c r="C225" i="10"/>
  <c r="C225" i="6"/>
  <c r="K224" i="6"/>
  <c r="G224" i="6"/>
  <c r="K41" i="10"/>
  <c r="G41" i="10"/>
  <c r="K132" i="6"/>
  <c r="G132" i="6"/>
  <c r="K225" i="6"/>
  <c r="G225" i="6"/>
  <c r="C86" i="6"/>
  <c r="G86" i="6"/>
  <c r="K86" i="6"/>
  <c r="C179" i="6"/>
  <c r="K178" i="6"/>
  <c r="G178" i="6"/>
  <c r="G87" i="6"/>
  <c r="K87" i="6"/>
  <c r="K133" i="6"/>
  <c r="G133" i="6"/>
  <c r="G179" i="6"/>
  <c r="K179" i="6"/>
  <c r="G270" i="10"/>
  <c r="K270" i="10"/>
  <c r="G225" i="10"/>
  <c r="K225" i="10"/>
  <c r="G179" i="10"/>
  <c r="K179" i="10"/>
  <c r="C178" i="10"/>
  <c r="G178" i="10"/>
  <c r="K178" i="10"/>
  <c r="C224" i="10"/>
  <c r="G224" i="10"/>
  <c r="G132" i="10"/>
  <c r="K132" i="10"/>
  <c r="K133" i="10"/>
  <c r="G133" i="10"/>
  <c r="C133" i="10"/>
  <c r="C87" i="10"/>
  <c r="G86" i="10"/>
  <c r="K86" i="10"/>
  <c r="K87" i="10"/>
  <c r="G87" i="10"/>
  <c r="C86" i="10"/>
  <c r="C224" i="6"/>
  <c r="C178" i="6"/>
  <c r="D18" i="6" l="1"/>
  <c r="D16" i="6"/>
  <c r="C32" i="6"/>
  <c r="D17" i="6" l="1"/>
  <c r="K37" i="6"/>
  <c r="B29" i="6"/>
  <c r="C28" i="6" a="1"/>
  <c r="C28" i="6" s="1"/>
  <c r="B28" i="6"/>
  <c r="C26" i="6"/>
  <c r="B26" i="6"/>
  <c r="D21" i="6"/>
  <c r="K45" i="6" s="1"/>
  <c r="I10" i="7" l="1" a="1"/>
  <c r="I10" i="7" s="1"/>
  <c r="I9" i="7" a="1"/>
  <c r="I9" i="7" s="1"/>
  <c r="K27" i="6"/>
  <c r="K26" i="6"/>
  <c r="K28" i="6"/>
  <c r="E147" i="6"/>
  <c r="D50" i="6"/>
  <c r="D252" i="10" a="1"/>
  <c r="D252" i="10" s="1"/>
  <c r="D206" i="10" a="1"/>
  <c r="D206" i="10" s="1"/>
  <c r="D160" i="10" a="1"/>
  <c r="D160" i="10" s="1"/>
  <c r="D114" i="10" a="1"/>
  <c r="D114" i="10" s="1"/>
  <c r="D68" i="10" a="1"/>
  <c r="D68" i="10" s="1"/>
  <c r="D252" i="6" a="1"/>
  <c r="D252" i="6" s="1"/>
  <c r="D206" i="6" a="1"/>
  <c r="D206" i="6" s="1"/>
  <c r="D160" i="6" a="1"/>
  <c r="D160" i="6" s="1"/>
  <c r="D114" i="6" a="1"/>
  <c r="D114" i="6" s="1"/>
  <c r="D68" i="6" a="1"/>
  <c r="D68" i="6" s="1"/>
  <c r="H7" i="6"/>
  <c r="E9" i="10"/>
  <c r="E239" i="6"/>
  <c r="E193" i="6"/>
  <c r="E101" i="6"/>
  <c r="E9" i="6"/>
  <c r="G17" i="7" a="1"/>
  <c r="G17" i="7" s="1"/>
  <c r="B45" i="7"/>
  <c r="B44" i="7"/>
  <c r="B43" i="7"/>
  <c r="C44" i="7" s="1" a="1"/>
  <c r="C44" i="7" s="1"/>
  <c r="B42" i="7"/>
  <c r="B34" i="7"/>
  <c r="C32" i="7"/>
  <c r="C31" i="7" a="1"/>
  <c r="C31" i="7" s="1"/>
  <c r="C30" i="7" a="1"/>
  <c r="C30" i="7" s="1"/>
  <c r="C29" i="7"/>
  <c r="C27" i="7"/>
  <c r="B25" i="7"/>
  <c r="D21" i="7" a="1"/>
  <c r="D21" i="7" s="1"/>
  <c r="C21" i="7"/>
  <c r="D17" i="7"/>
  <c r="D18" i="7"/>
  <c r="B10" i="7"/>
  <c r="E9" i="7"/>
  <c r="C43" i="7" l="1"/>
  <c r="K46" i="7"/>
  <c r="J17" i="7"/>
  <c r="K27" i="7"/>
  <c r="K17" i="7"/>
  <c r="I17" i="7" a="1"/>
  <c r="I17" i="7" s="1"/>
  <c r="K44" i="7" l="1"/>
  <c r="K43" i="7"/>
  <c r="K32" i="7"/>
  <c r="K29" i="7"/>
  <c r="K28" i="7"/>
  <c r="G27" i="7"/>
  <c r="C39" i="6" l="1" a="1"/>
  <c r="C39" i="6" s="1"/>
  <c r="C38" i="6"/>
  <c r="C37" i="6"/>
  <c r="C36" i="6"/>
  <c r="C35" i="6"/>
  <c r="C34" i="6"/>
  <c r="C33" i="6" a="1"/>
  <c r="C33" i="6" s="1"/>
  <c r="L225" i="10"/>
  <c r="L134" i="10"/>
  <c r="L226" i="6"/>
  <c r="L134" i="6"/>
  <c r="L133" i="6"/>
  <c r="B42" i="6"/>
  <c r="B41" i="6"/>
  <c r="B40" i="6"/>
  <c r="C40" i="6" s="1"/>
  <c r="B39" i="6"/>
  <c r="B38" i="6"/>
  <c r="B37" i="6"/>
  <c r="B36" i="6"/>
  <c r="B35" i="6"/>
  <c r="B34" i="6"/>
  <c r="B33" i="6"/>
  <c r="B32" i="6"/>
  <c r="B31" i="6"/>
  <c r="B30" i="6"/>
  <c r="L272" i="6"/>
  <c r="L271" i="6"/>
  <c r="L270" i="6"/>
  <c r="L269" i="6"/>
  <c r="L268" i="6"/>
  <c r="L267" i="6"/>
  <c r="L266" i="6"/>
  <c r="L265" i="6"/>
  <c r="L264" i="6"/>
  <c r="L263" i="6"/>
  <c r="L262" i="6"/>
  <c r="L261" i="6"/>
  <c r="L260" i="6"/>
  <c r="L259" i="6"/>
  <c r="L258" i="6"/>
  <c r="L257" i="6"/>
  <c r="L256" i="6"/>
  <c r="L225" i="6"/>
  <c r="L224" i="6"/>
  <c r="L223" i="6"/>
  <c r="L222" i="6"/>
  <c r="L221" i="6"/>
  <c r="L220" i="6"/>
  <c r="L219" i="6"/>
  <c r="L218" i="6"/>
  <c r="L217" i="6"/>
  <c r="L216" i="6"/>
  <c r="L215" i="6"/>
  <c r="L214" i="6"/>
  <c r="L212" i="6"/>
  <c r="L180" i="6"/>
  <c r="L177" i="6"/>
  <c r="L176" i="6"/>
  <c r="L175" i="6"/>
  <c r="L174" i="6"/>
  <c r="L173" i="6"/>
  <c r="L172" i="6"/>
  <c r="L171" i="6"/>
  <c r="L170" i="6"/>
  <c r="L169" i="6"/>
  <c r="L168" i="6"/>
  <c r="L166" i="6"/>
  <c r="L132" i="6"/>
  <c r="L131" i="6"/>
  <c r="L130" i="6"/>
  <c r="L128" i="6"/>
  <c r="L127" i="6"/>
  <c r="L126" i="6"/>
  <c r="L125" i="6"/>
  <c r="L124" i="6"/>
  <c r="L122" i="6"/>
  <c r="L88" i="6"/>
  <c r="L87" i="6"/>
  <c r="L86" i="6"/>
  <c r="L85" i="6"/>
  <c r="L84" i="6"/>
  <c r="L82" i="6"/>
  <c r="L81" i="6"/>
  <c r="L80" i="6"/>
  <c r="L79" i="6"/>
  <c r="L78" i="6"/>
  <c r="L76" i="6"/>
  <c r="L75" i="6"/>
  <c r="L39" i="6"/>
  <c r="L38" i="6"/>
  <c r="L36" i="6"/>
  <c r="L35" i="6"/>
  <c r="L34" i="6"/>
  <c r="L33" i="6"/>
  <c r="L32" i="6"/>
  <c r="L30" i="6"/>
  <c r="L29" i="6"/>
  <c r="L272" i="10"/>
  <c r="L271" i="10"/>
  <c r="L270" i="10"/>
  <c r="L269" i="10"/>
  <c r="L268" i="10"/>
  <c r="L267" i="10"/>
  <c r="L266" i="10"/>
  <c r="L265" i="10"/>
  <c r="L264" i="10"/>
  <c r="L263" i="10"/>
  <c r="L262" i="10"/>
  <c r="L261" i="10"/>
  <c r="L260" i="10"/>
  <c r="L258" i="10"/>
  <c r="L226" i="10"/>
  <c r="L224" i="10"/>
  <c r="L223" i="10"/>
  <c r="L222" i="10"/>
  <c r="L221" i="10"/>
  <c r="L220" i="10"/>
  <c r="L219" i="10"/>
  <c r="L218" i="10"/>
  <c r="L217" i="10"/>
  <c r="L216" i="10"/>
  <c r="L215" i="10"/>
  <c r="L214" i="10"/>
  <c r="L212" i="10"/>
  <c r="L180" i="10"/>
  <c r="L179" i="10"/>
  <c r="L177" i="10"/>
  <c r="L176" i="10"/>
  <c r="L175" i="10"/>
  <c r="L174" i="10"/>
  <c r="L173" i="10"/>
  <c r="L172" i="10"/>
  <c r="L171" i="10"/>
  <c r="L170" i="10"/>
  <c r="L169" i="10"/>
  <c r="L168" i="10"/>
  <c r="L166" i="10"/>
  <c r="L133" i="10"/>
  <c r="L131" i="10"/>
  <c r="L130" i="10"/>
  <c r="L129" i="10"/>
  <c r="L128" i="10"/>
  <c r="L127" i="10"/>
  <c r="L126" i="10"/>
  <c r="L125" i="10"/>
  <c r="L124" i="10"/>
  <c r="L123" i="10"/>
  <c r="L122" i="10"/>
  <c r="L120" i="10"/>
  <c r="L88" i="10"/>
  <c r="L86" i="10"/>
  <c r="L85" i="10"/>
  <c r="L84" i="10"/>
  <c r="L82" i="10"/>
  <c r="L81" i="10"/>
  <c r="L80" i="10"/>
  <c r="L79" i="10"/>
  <c r="L78" i="10"/>
  <c r="L77" i="10"/>
  <c r="L76" i="10"/>
  <c r="L42" i="10"/>
  <c r="L40" i="10"/>
  <c r="L39" i="10"/>
  <c r="L38" i="10"/>
  <c r="L37" i="10"/>
  <c r="L36" i="10"/>
  <c r="L35" i="10"/>
  <c r="L34" i="10"/>
  <c r="L33" i="10"/>
  <c r="L32" i="10"/>
  <c r="L31" i="10"/>
  <c r="L30" i="10"/>
  <c r="L28" i="10"/>
  <c r="B254" i="10"/>
  <c r="B208" i="10"/>
  <c r="B162" i="10"/>
  <c r="B116" i="10"/>
  <c r="B70" i="10"/>
  <c r="B24" i="10"/>
  <c r="B254" i="6"/>
  <c r="B208" i="6"/>
  <c r="B162" i="6"/>
  <c r="B116" i="6"/>
  <c r="B70" i="6"/>
  <c r="B24" i="6"/>
  <c r="G42" i="6" l="1"/>
  <c r="K42" i="6" s="1"/>
  <c r="L42" i="6" s="1"/>
  <c r="K41" i="6"/>
  <c r="L41" i="6" s="1"/>
  <c r="G41" i="6"/>
  <c r="K40" i="6"/>
  <c r="L40" i="6" s="1"/>
  <c r="G40" i="6"/>
  <c r="C41" i="6"/>
  <c r="L123" i="6"/>
  <c r="L77" i="6"/>
  <c r="L31" i="6"/>
  <c r="L87" i="10"/>
  <c r="L179" i="6"/>
  <c r="L178" i="6"/>
  <c r="L178" i="10"/>
  <c r="L132" i="10"/>
  <c r="L41" i="10"/>
  <c r="D251" i="10" l="1"/>
  <c r="D250" i="10" a="1"/>
  <c r="D250" i="10" s="1"/>
  <c r="C250" i="10"/>
  <c r="B250" i="10"/>
  <c r="D248" i="10"/>
  <c r="H247" i="10" a="1"/>
  <c r="H247" i="10" s="1"/>
  <c r="G247" i="10" a="1"/>
  <c r="G247" i="10" s="1"/>
  <c r="J247" i="10" s="1"/>
  <c r="L246" i="10"/>
  <c r="J246" i="10"/>
  <c r="I246" i="10" a="1"/>
  <c r="I246" i="10" s="1"/>
  <c r="D246" i="10"/>
  <c r="K259" i="10" s="1"/>
  <c r="L259" i="10" s="1"/>
  <c r="L245" i="10"/>
  <c r="J245" i="10"/>
  <c r="I245" i="10" a="1"/>
  <c r="I245" i="10" s="1"/>
  <c r="L244" i="10"/>
  <c r="J244" i="10"/>
  <c r="I244" i="10" a="1"/>
  <c r="I244" i="10" s="1"/>
  <c r="L243" i="10"/>
  <c r="J243" i="10"/>
  <c r="I243" i="10" a="1"/>
  <c r="I243" i="10" s="1"/>
  <c r="L242" i="10"/>
  <c r="J242" i="10"/>
  <c r="I242" i="10" a="1"/>
  <c r="I242" i="10" s="1"/>
  <c r="L241" i="10"/>
  <c r="J241" i="10"/>
  <c r="I241" i="10" a="1"/>
  <c r="I241" i="10" s="1"/>
  <c r="L240" i="10"/>
  <c r="J240" i="10"/>
  <c r="I240" i="10" a="1"/>
  <c r="I240" i="10" s="1"/>
  <c r="B240" i="10"/>
  <c r="L239" i="10"/>
  <c r="J239" i="10"/>
  <c r="L238" i="10"/>
  <c r="J238" i="10"/>
  <c r="I238" i="10" a="1"/>
  <c r="I238" i="10" s="1"/>
  <c r="L237" i="10"/>
  <c r="K237" i="10"/>
  <c r="J237" i="10"/>
  <c r="I237" i="10"/>
  <c r="H237" i="10"/>
  <c r="G237" i="10"/>
  <c r="D205" i="10"/>
  <c r="D204" i="10" a="1"/>
  <c r="D204" i="10" s="1"/>
  <c r="C204" i="10"/>
  <c r="B204" i="10"/>
  <c r="D202" i="10"/>
  <c r="H201" i="10" a="1"/>
  <c r="H201" i="10" s="1"/>
  <c r="G201" i="10" a="1"/>
  <c r="G201" i="10" s="1"/>
  <c r="J201" i="10" s="1"/>
  <c r="L200" i="10"/>
  <c r="J200" i="10"/>
  <c r="I200" i="10" a="1"/>
  <c r="I200" i="10" s="1"/>
  <c r="D200" i="10"/>
  <c r="K213" i="10" s="1"/>
  <c r="L213" i="10" s="1"/>
  <c r="L199" i="10"/>
  <c r="J199" i="10"/>
  <c r="I199" i="10" a="1"/>
  <c r="I199" i="10" s="1"/>
  <c r="L198" i="10"/>
  <c r="J198" i="10"/>
  <c r="I198" i="10" a="1"/>
  <c r="I198" i="10" s="1"/>
  <c r="L197" i="10"/>
  <c r="J197" i="10"/>
  <c r="I197" i="10" a="1"/>
  <c r="I197" i="10" s="1"/>
  <c r="L196" i="10"/>
  <c r="J196" i="10"/>
  <c r="I196" i="10" a="1"/>
  <c r="I196" i="10" s="1"/>
  <c r="L195" i="10"/>
  <c r="J195" i="10"/>
  <c r="I195" i="10" a="1"/>
  <c r="I195" i="10" s="1"/>
  <c r="L194" i="10"/>
  <c r="J194" i="10"/>
  <c r="I194" i="10" a="1"/>
  <c r="I194" i="10" s="1"/>
  <c r="B194" i="10"/>
  <c r="L193" i="10"/>
  <c r="J193" i="10"/>
  <c r="L192" i="10"/>
  <c r="J192" i="10"/>
  <c r="I192" i="10" a="1"/>
  <c r="I192" i="10" s="1"/>
  <c r="L191" i="10"/>
  <c r="K191" i="10"/>
  <c r="J191" i="10"/>
  <c r="I191" i="10"/>
  <c r="H191" i="10"/>
  <c r="G191" i="10"/>
  <c r="D159" i="10"/>
  <c r="K183" i="10" s="1"/>
  <c r="D158" i="10" a="1"/>
  <c r="D158" i="10" s="1"/>
  <c r="C158" i="10"/>
  <c r="B158" i="10"/>
  <c r="D156" i="10"/>
  <c r="H155" i="10" a="1"/>
  <c r="H155" i="10" s="1"/>
  <c r="G155" i="10" a="1"/>
  <c r="G155" i="10" s="1"/>
  <c r="L154" i="10"/>
  <c r="J154" i="10"/>
  <c r="I154" i="10" a="1"/>
  <c r="I154" i="10" s="1"/>
  <c r="D154" i="10"/>
  <c r="K167" i="10" s="1"/>
  <c r="L167" i="10" s="1"/>
  <c r="L153" i="10"/>
  <c r="J153" i="10"/>
  <c r="I153" i="10" a="1"/>
  <c r="I153" i="10" s="1"/>
  <c r="L152" i="10"/>
  <c r="J152" i="10"/>
  <c r="I152" i="10" a="1"/>
  <c r="I152" i="10" s="1"/>
  <c r="L151" i="10"/>
  <c r="J151" i="10"/>
  <c r="I151" i="10" a="1"/>
  <c r="I151" i="10" s="1"/>
  <c r="L150" i="10"/>
  <c r="J150" i="10"/>
  <c r="I150" i="10" a="1"/>
  <c r="I150" i="10" s="1"/>
  <c r="L149" i="10"/>
  <c r="J149" i="10"/>
  <c r="I149" i="10" a="1"/>
  <c r="I149" i="10" s="1"/>
  <c r="L148" i="10"/>
  <c r="J148" i="10"/>
  <c r="I148" i="10" a="1"/>
  <c r="I148" i="10" s="1"/>
  <c r="B148" i="10"/>
  <c r="L147" i="10"/>
  <c r="J147" i="10"/>
  <c r="L146" i="10"/>
  <c r="J146" i="10"/>
  <c r="I146" i="10" a="1"/>
  <c r="I146" i="10" s="1"/>
  <c r="L145" i="10"/>
  <c r="K145" i="10"/>
  <c r="J145" i="10"/>
  <c r="I145" i="10"/>
  <c r="H145" i="10"/>
  <c r="G145" i="10"/>
  <c r="D113" i="10"/>
  <c r="K137" i="10" s="1"/>
  <c r="D112" i="10" a="1"/>
  <c r="D112" i="10" s="1"/>
  <c r="C112" i="10"/>
  <c r="B112" i="10"/>
  <c r="D110" i="10"/>
  <c r="H109" i="10" a="1"/>
  <c r="H109" i="10" s="1"/>
  <c r="G109" i="10" a="1"/>
  <c r="G109" i="10" s="1"/>
  <c r="L108" i="10"/>
  <c r="J108" i="10"/>
  <c r="I108" i="10" a="1"/>
  <c r="I108" i="10" s="1"/>
  <c r="D108" i="10"/>
  <c r="K121" i="10" s="1"/>
  <c r="L121" i="10" s="1"/>
  <c r="L107" i="10"/>
  <c r="J107" i="10"/>
  <c r="I107" i="10" a="1"/>
  <c r="I107" i="10" s="1"/>
  <c r="L106" i="10"/>
  <c r="J106" i="10"/>
  <c r="I106" i="10" a="1"/>
  <c r="I106" i="10" s="1"/>
  <c r="L105" i="10"/>
  <c r="J105" i="10"/>
  <c r="I105" i="10" a="1"/>
  <c r="I105" i="10" s="1"/>
  <c r="L104" i="10"/>
  <c r="J104" i="10"/>
  <c r="I104" i="10" a="1"/>
  <c r="I104" i="10" s="1"/>
  <c r="L103" i="10"/>
  <c r="J103" i="10"/>
  <c r="I103" i="10" a="1"/>
  <c r="I103" i="10" s="1"/>
  <c r="L102" i="10"/>
  <c r="J102" i="10"/>
  <c r="I102" i="10" a="1"/>
  <c r="I102" i="10" s="1"/>
  <c r="B102" i="10"/>
  <c r="L101" i="10"/>
  <c r="J101" i="10"/>
  <c r="L100" i="10"/>
  <c r="J100" i="10"/>
  <c r="I100" i="10" a="1"/>
  <c r="I100" i="10" s="1"/>
  <c r="L99" i="10"/>
  <c r="K99" i="10"/>
  <c r="J99" i="10"/>
  <c r="I99" i="10"/>
  <c r="H99" i="10"/>
  <c r="G99" i="10"/>
  <c r="D234" i="10"/>
  <c r="D188" i="10"/>
  <c r="D142" i="10"/>
  <c r="D96" i="10"/>
  <c r="I55" i="10" a="1"/>
  <c r="I55" i="10" s="1"/>
  <c r="I63" i="10" s="1" a="1"/>
  <c r="I63" i="10" s="1"/>
  <c r="D67" i="10"/>
  <c r="D66" i="10" a="1"/>
  <c r="D66" i="10" s="1"/>
  <c r="C66" i="10"/>
  <c r="B66" i="10"/>
  <c r="D64" i="10"/>
  <c r="H63" i="10" a="1"/>
  <c r="H63" i="10" s="1"/>
  <c r="G63" i="10" a="1"/>
  <c r="G63" i="10" s="1"/>
  <c r="L62" i="10"/>
  <c r="J62" i="10"/>
  <c r="I62" i="10" a="1"/>
  <c r="I62" i="10" s="1"/>
  <c r="D62" i="10"/>
  <c r="L61" i="10"/>
  <c r="J61" i="10"/>
  <c r="I61" i="10" a="1"/>
  <c r="I61" i="10" s="1"/>
  <c r="L60" i="10"/>
  <c r="J60" i="10"/>
  <c r="I60" i="10" a="1"/>
  <c r="I60" i="10" s="1"/>
  <c r="L59" i="10"/>
  <c r="J59" i="10"/>
  <c r="I59" i="10" a="1"/>
  <c r="I59" i="10" s="1"/>
  <c r="L58" i="10"/>
  <c r="J58" i="10"/>
  <c r="I58" i="10" a="1"/>
  <c r="I58" i="10" s="1"/>
  <c r="L57" i="10"/>
  <c r="J57" i="10"/>
  <c r="I57" i="10" a="1"/>
  <c r="I57" i="10" s="1"/>
  <c r="L56" i="10"/>
  <c r="J56" i="10"/>
  <c r="I56" i="10" a="1"/>
  <c r="I56" i="10" s="1"/>
  <c r="B56" i="10"/>
  <c r="L55" i="10"/>
  <c r="J55" i="10"/>
  <c r="L54" i="10"/>
  <c r="J54" i="10"/>
  <c r="I54" i="10" a="1"/>
  <c r="I54" i="10" s="1"/>
  <c r="L53" i="10"/>
  <c r="K53" i="10"/>
  <c r="J53" i="10"/>
  <c r="I53" i="10"/>
  <c r="H53" i="10"/>
  <c r="G53" i="10"/>
  <c r="D50" i="10"/>
  <c r="I9" i="10" a="1"/>
  <c r="I9" i="10" s="1"/>
  <c r="I17" i="10" s="1" a="1"/>
  <c r="I17" i="10" s="1"/>
  <c r="D21" i="10"/>
  <c r="K45" i="10" s="1"/>
  <c r="D20" i="10" a="1"/>
  <c r="D20" i="10" s="1"/>
  <c r="C20" i="10"/>
  <c r="B20" i="10"/>
  <c r="D18" i="10"/>
  <c r="H17" i="10" a="1"/>
  <c r="H17" i="10" s="1"/>
  <c r="G17" i="10" a="1"/>
  <c r="G17" i="10" s="1"/>
  <c r="L16" i="10"/>
  <c r="J16" i="10"/>
  <c r="I16" i="10" a="1"/>
  <c r="I16" i="10" s="1"/>
  <c r="D16" i="10"/>
  <c r="K29" i="10" s="1"/>
  <c r="L29" i="10" s="1"/>
  <c r="L15" i="10"/>
  <c r="J15" i="10"/>
  <c r="I15" i="10" a="1"/>
  <c r="I15" i="10" s="1"/>
  <c r="L14" i="10"/>
  <c r="J14" i="10"/>
  <c r="I14" i="10" a="1"/>
  <c r="I14" i="10" s="1"/>
  <c r="L13" i="10"/>
  <c r="J13" i="10"/>
  <c r="I13" i="10" a="1"/>
  <c r="I13" i="10" s="1"/>
  <c r="L12" i="10"/>
  <c r="J12" i="10"/>
  <c r="I12" i="10" a="1"/>
  <c r="I12" i="10" s="1"/>
  <c r="L11" i="10"/>
  <c r="J11" i="10"/>
  <c r="I11" i="10" a="1"/>
  <c r="I11" i="10" s="1"/>
  <c r="L10" i="10"/>
  <c r="J10" i="10"/>
  <c r="I10" i="10" a="1"/>
  <c r="I10" i="10" s="1"/>
  <c r="B10" i="10"/>
  <c r="L9" i="10"/>
  <c r="J9" i="10"/>
  <c r="L8" i="10"/>
  <c r="J8" i="10"/>
  <c r="I8" i="10" a="1"/>
  <c r="I8" i="10" s="1"/>
  <c r="L7" i="10"/>
  <c r="K7" i="10"/>
  <c r="J7" i="10"/>
  <c r="I7" i="10"/>
  <c r="H7" i="10"/>
  <c r="G7" i="10"/>
  <c r="D4" i="10"/>
  <c r="K75" i="10" l="1"/>
  <c r="L75" i="10" s="1"/>
  <c r="K83" i="10"/>
  <c r="L83" i="10" s="1"/>
  <c r="D247" i="10"/>
  <c r="K257" i="10" s="1"/>
  <c r="L257" i="10" s="1"/>
  <c r="D201" i="10"/>
  <c r="K247" i="10"/>
  <c r="L247" i="10" s="1"/>
  <c r="L248" i="10" s="1"/>
  <c r="K275" i="10"/>
  <c r="L275" i="10" s="1"/>
  <c r="K201" i="10"/>
  <c r="L201" i="10" s="1"/>
  <c r="K229" i="10"/>
  <c r="L229" i="10" s="1"/>
  <c r="K155" i="10"/>
  <c r="L155" i="10" s="1"/>
  <c r="L156" i="10" s="1"/>
  <c r="K109" i="10"/>
  <c r="L109" i="10" s="1"/>
  <c r="L137" i="10"/>
  <c r="K63" i="10"/>
  <c r="L63" i="10" s="1"/>
  <c r="K91" i="10"/>
  <c r="L91" i="10" s="1"/>
  <c r="K17" i="10"/>
  <c r="L17" i="10" s="1"/>
  <c r="L45" i="10"/>
  <c r="L202" i="10"/>
  <c r="I101" i="10" a="1"/>
  <c r="I101" i="10" s="1"/>
  <c r="I109" i="10" s="1" a="1"/>
  <c r="I109" i="10" s="1"/>
  <c r="I239" i="10" a="1"/>
  <c r="I239" i="10" s="1"/>
  <c r="I247" i="10" s="1" a="1"/>
  <c r="I247" i="10" s="1"/>
  <c r="I193" i="10" a="1"/>
  <c r="I193" i="10" s="1"/>
  <c r="I201" i="10" s="1" a="1"/>
  <c r="I201" i="10" s="1"/>
  <c r="K202" i="10"/>
  <c r="K203" i="10" s="1"/>
  <c r="L203" i="10" s="1"/>
  <c r="J155" i="10"/>
  <c r="K156" i="10"/>
  <c r="K157" i="10" s="1"/>
  <c r="L157" i="10" s="1"/>
  <c r="I147" i="10" a="1"/>
  <c r="I147" i="10" s="1"/>
  <c r="I155" i="10" s="1" a="1"/>
  <c r="I155" i="10" s="1"/>
  <c r="L183" i="10"/>
  <c r="D155" i="10"/>
  <c r="J109" i="10"/>
  <c r="L110" i="10"/>
  <c r="K110" i="10"/>
  <c r="K111" i="10" s="1"/>
  <c r="L111" i="10" s="1"/>
  <c r="D109" i="10"/>
  <c r="K64" i="10"/>
  <c r="K65" i="10" s="1"/>
  <c r="L65" i="10" s="1"/>
  <c r="K18" i="10"/>
  <c r="K19" i="10" s="1"/>
  <c r="L19" i="10" s="1"/>
  <c r="D17" i="10"/>
  <c r="J63" i="10"/>
  <c r="J17" i="10"/>
  <c r="L64" i="10"/>
  <c r="L18" i="10"/>
  <c r="D63" i="10"/>
  <c r="K74" i="10" s="1"/>
  <c r="L74" i="10" s="1"/>
  <c r="I239" i="6" a="1"/>
  <c r="I239" i="6" s="1"/>
  <c r="I247" i="6" s="1" a="1"/>
  <c r="I247" i="6" s="1"/>
  <c r="D251" i="6"/>
  <c r="K275" i="6" s="1"/>
  <c r="D250" i="6" a="1"/>
  <c r="D250" i="6" s="1"/>
  <c r="C250" i="6"/>
  <c r="B250" i="6"/>
  <c r="D248" i="6"/>
  <c r="D246" i="6"/>
  <c r="D247" i="6" s="1"/>
  <c r="B240" i="6"/>
  <c r="I193" i="6" a="1"/>
  <c r="I193" i="6" s="1"/>
  <c r="I201" i="6" s="1" a="1"/>
  <c r="I201" i="6" s="1"/>
  <c r="D205" i="6"/>
  <c r="K229" i="6" s="1"/>
  <c r="D204" i="6" a="1"/>
  <c r="D204" i="6" s="1"/>
  <c r="C204" i="6"/>
  <c r="B204" i="6"/>
  <c r="D202" i="6"/>
  <c r="D200" i="6"/>
  <c r="K213" i="6" s="1"/>
  <c r="B194" i="6"/>
  <c r="I147" i="6" a="1"/>
  <c r="I147" i="6" s="1"/>
  <c r="I155" i="6" s="1" a="1"/>
  <c r="I155" i="6" s="1"/>
  <c r="D159" i="6"/>
  <c r="K183" i="6" s="1"/>
  <c r="D158" i="6" a="1"/>
  <c r="D158" i="6" s="1"/>
  <c r="C158" i="6"/>
  <c r="B158" i="6"/>
  <c r="D156" i="6"/>
  <c r="D154" i="6"/>
  <c r="B148" i="6"/>
  <c r="I101" i="6" a="1"/>
  <c r="I101" i="6" s="1"/>
  <c r="I109" i="6" s="1" a="1"/>
  <c r="I109" i="6" s="1"/>
  <c r="D113" i="6"/>
  <c r="D112" i="6" a="1"/>
  <c r="D112" i="6" s="1"/>
  <c r="C112" i="6"/>
  <c r="B112" i="6"/>
  <c r="D110" i="6"/>
  <c r="D108" i="6"/>
  <c r="B102" i="6"/>
  <c r="I55" i="6" a="1"/>
  <c r="I55" i="6" s="1"/>
  <c r="I63" i="6" s="1" a="1"/>
  <c r="I63" i="6" s="1"/>
  <c r="D67" i="6"/>
  <c r="D66" i="6" a="1"/>
  <c r="D66" i="6" s="1"/>
  <c r="C66" i="6"/>
  <c r="B66" i="6"/>
  <c r="D64" i="6"/>
  <c r="D62" i="6"/>
  <c r="K83" i="6" s="1"/>
  <c r="B56" i="6"/>
  <c r="E55" i="6"/>
  <c r="G145" i="6"/>
  <c r="H145" i="6"/>
  <c r="I145" i="6"/>
  <c r="J145" i="6"/>
  <c r="K145" i="6"/>
  <c r="L145" i="6"/>
  <c r="I146" i="6" a="1"/>
  <c r="I146" i="6" s="1"/>
  <c r="J146" i="6"/>
  <c r="L146" i="6"/>
  <c r="J147" i="6"/>
  <c r="L147" i="6"/>
  <c r="I148" i="6" a="1"/>
  <c r="I148" i="6" s="1"/>
  <c r="J148" i="6"/>
  <c r="L148" i="6"/>
  <c r="I149" i="6" a="1"/>
  <c r="I149" i="6" s="1"/>
  <c r="J149" i="6"/>
  <c r="L149" i="6"/>
  <c r="I150" i="6" a="1"/>
  <c r="I150" i="6" s="1"/>
  <c r="J150" i="6"/>
  <c r="L150" i="6"/>
  <c r="I151" i="6" a="1"/>
  <c r="I151" i="6" s="1"/>
  <c r="J151" i="6"/>
  <c r="L151" i="6"/>
  <c r="I152" i="6" a="1"/>
  <c r="I152" i="6" s="1"/>
  <c r="J152" i="6"/>
  <c r="L152" i="6"/>
  <c r="I153" i="6" a="1"/>
  <c r="I153" i="6" s="1"/>
  <c r="J153" i="6"/>
  <c r="L153" i="6"/>
  <c r="I154" i="6" a="1"/>
  <c r="I154" i="6" s="1"/>
  <c r="J154" i="6"/>
  <c r="L154" i="6"/>
  <c r="G155" i="6" a="1"/>
  <c r="G155" i="6" s="1"/>
  <c r="H155" i="6" a="1"/>
  <c r="H155" i="6" s="1"/>
  <c r="H247" i="6" a="1"/>
  <c r="H247" i="6" s="1"/>
  <c r="G247" i="6" a="1"/>
  <c r="G247" i="6" s="1"/>
  <c r="J247" i="6" s="1"/>
  <c r="L246" i="6"/>
  <c r="J246" i="6"/>
  <c r="I246" i="6" a="1"/>
  <c r="I246" i="6" s="1"/>
  <c r="L245" i="6"/>
  <c r="J245" i="6"/>
  <c r="I245" i="6" a="1"/>
  <c r="I245" i="6" s="1"/>
  <c r="L244" i="6"/>
  <c r="J244" i="6"/>
  <c r="I244" i="6" a="1"/>
  <c r="I244" i="6" s="1"/>
  <c r="L243" i="6"/>
  <c r="J243" i="6"/>
  <c r="I243" i="6" a="1"/>
  <c r="I243" i="6" s="1"/>
  <c r="L242" i="6"/>
  <c r="J242" i="6"/>
  <c r="I242" i="6" a="1"/>
  <c r="I242" i="6" s="1"/>
  <c r="L241" i="6"/>
  <c r="J241" i="6"/>
  <c r="I241" i="6" a="1"/>
  <c r="I241" i="6" s="1"/>
  <c r="L240" i="6"/>
  <c r="J240" i="6"/>
  <c r="I240" i="6" a="1"/>
  <c r="I240" i="6" s="1"/>
  <c r="L239" i="6"/>
  <c r="J239" i="6"/>
  <c r="L238" i="6"/>
  <c r="J238" i="6"/>
  <c r="I238" i="6" a="1"/>
  <c r="I238" i="6" s="1"/>
  <c r="L237" i="6"/>
  <c r="K237" i="6"/>
  <c r="J237" i="6"/>
  <c r="I237" i="6"/>
  <c r="H237" i="6"/>
  <c r="G237" i="6"/>
  <c r="H201" i="6" a="1"/>
  <c r="H201" i="6" s="1"/>
  <c r="G201" i="6" a="1"/>
  <c r="G201" i="6" s="1"/>
  <c r="L200" i="6"/>
  <c r="J200" i="6"/>
  <c r="I200" i="6" a="1"/>
  <c r="I200" i="6" s="1"/>
  <c r="L199" i="6"/>
  <c r="J199" i="6"/>
  <c r="I199" i="6" a="1"/>
  <c r="I199" i="6" s="1"/>
  <c r="L198" i="6"/>
  <c r="J198" i="6"/>
  <c r="I198" i="6" a="1"/>
  <c r="I198" i="6" s="1"/>
  <c r="L197" i="6"/>
  <c r="J197" i="6"/>
  <c r="I197" i="6" a="1"/>
  <c r="I197" i="6" s="1"/>
  <c r="L196" i="6"/>
  <c r="J196" i="6"/>
  <c r="I196" i="6" a="1"/>
  <c r="I196" i="6" s="1"/>
  <c r="L195" i="6"/>
  <c r="J195" i="6"/>
  <c r="I195" i="6" a="1"/>
  <c r="I195" i="6" s="1"/>
  <c r="L194" i="6"/>
  <c r="J194" i="6"/>
  <c r="I194" i="6" a="1"/>
  <c r="I194" i="6" s="1"/>
  <c r="L193" i="6"/>
  <c r="J193" i="6"/>
  <c r="L192" i="6"/>
  <c r="J192" i="6"/>
  <c r="I192" i="6" a="1"/>
  <c r="I192" i="6" s="1"/>
  <c r="L191" i="6"/>
  <c r="K191" i="6"/>
  <c r="J191" i="6"/>
  <c r="I191" i="6"/>
  <c r="H191" i="6"/>
  <c r="G191" i="6"/>
  <c r="H109" i="6" a="1"/>
  <c r="H109" i="6" s="1"/>
  <c r="G109" i="6" a="1"/>
  <c r="G109" i="6" s="1"/>
  <c r="L108" i="6"/>
  <c r="J108" i="6"/>
  <c r="I108" i="6" a="1"/>
  <c r="I108" i="6" s="1"/>
  <c r="L107" i="6"/>
  <c r="J107" i="6"/>
  <c r="I107" i="6" a="1"/>
  <c r="I107" i="6" s="1"/>
  <c r="L106" i="6"/>
  <c r="J106" i="6"/>
  <c r="I106" i="6" a="1"/>
  <c r="I106" i="6" s="1"/>
  <c r="L105" i="6"/>
  <c r="J105" i="6"/>
  <c r="I105" i="6" a="1"/>
  <c r="I105" i="6" s="1"/>
  <c r="L104" i="6"/>
  <c r="J104" i="6"/>
  <c r="I104" i="6" a="1"/>
  <c r="I104" i="6" s="1"/>
  <c r="L103" i="6"/>
  <c r="J103" i="6"/>
  <c r="I103" i="6" a="1"/>
  <c r="I103" i="6" s="1"/>
  <c r="L102" i="6"/>
  <c r="J102" i="6"/>
  <c r="I102" i="6" a="1"/>
  <c r="I102" i="6" s="1"/>
  <c r="L101" i="6"/>
  <c r="J101" i="6"/>
  <c r="L100" i="6"/>
  <c r="J100" i="6"/>
  <c r="I100" i="6" a="1"/>
  <c r="I100" i="6" s="1"/>
  <c r="L99" i="6"/>
  <c r="K99" i="6"/>
  <c r="J99" i="6"/>
  <c r="I99" i="6"/>
  <c r="H99" i="6"/>
  <c r="G99" i="6"/>
  <c r="H63" i="6" a="1"/>
  <c r="H63" i="6" s="1"/>
  <c r="G63" i="6" a="1"/>
  <c r="G63" i="6" s="1"/>
  <c r="L62" i="6"/>
  <c r="J62" i="6"/>
  <c r="I62" i="6" a="1"/>
  <c r="I62" i="6" s="1"/>
  <c r="L61" i="6"/>
  <c r="J61" i="6"/>
  <c r="I61" i="6" a="1"/>
  <c r="I61" i="6" s="1"/>
  <c r="L60" i="6"/>
  <c r="J60" i="6"/>
  <c r="I60" i="6" a="1"/>
  <c r="I60" i="6" s="1"/>
  <c r="L59" i="6"/>
  <c r="J59" i="6"/>
  <c r="I59" i="6" a="1"/>
  <c r="I59" i="6" s="1"/>
  <c r="L58" i="6"/>
  <c r="J58" i="6"/>
  <c r="I58" i="6" a="1"/>
  <c r="I58" i="6" s="1"/>
  <c r="L57" i="6"/>
  <c r="J57" i="6"/>
  <c r="I57" i="6" a="1"/>
  <c r="I57" i="6" s="1"/>
  <c r="L56" i="6"/>
  <c r="J56" i="6"/>
  <c r="I56" i="6" a="1"/>
  <c r="I56" i="6" s="1"/>
  <c r="L55" i="6"/>
  <c r="J55" i="6"/>
  <c r="L54" i="6"/>
  <c r="J54" i="6"/>
  <c r="I54" i="6" a="1"/>
  <c r="I54" i="6" s="1"/>
  <c r="L53" i="6"/>
  <c r="K53" i="6"/>
  <c r="J53" i="6"/>
  <c r="I53" i="6"/>
  <c r="H53" i="6"/>
  <c r="G53" i="6"/>
  <c r="K42" i="7"/>
  <c r="L42" i="7" s="1"/>
  <c r="K41" i="7"/>
  <c r="G40" i="7"/>
  <c r="K40" i="7" s="1"/>
  <c r="G39" i="7"/>
  <c r="K39" i="7" s="1"/>
  <c r="G38" i="7"/>
  <c r="K38" i="7" s="1"/>
  <c r="G37" i="7"/>
  <c r="K37" i="7" s="1"/>
  <c r="G36" i="7"/>
  <c r="K36" i="7" s="1"/>
  <c r="G35" i="7"/>
  <c r="K35" i="7" s="1"/>
  <c r="G34" i="7"/>
  <c r="K34" i="7" s="1"/>
  <c r="G30" i="7"/>
  <c r="K30" i="7" s="1"/>
  <c r="D234" i="6"/>
  <c r="D188" i="6"/>
  <c r="D142" i="6"/>
  <c r="D96" i="6"/>
  <c r="D4" i="6"/>
  <c r="K26" i="10" l="1"/>
  <c r="L26" i="10" s="1"/>
  <c r="K23" i="10"/>
  <c r="K201" i="6"/>
  <c r="L201" i="6" s="1"/>
  <c r="K129" i="6"/>
  <c r="L129" i="6" s="1"/>
  <c r="D155" i="6"/>
  <c r="K167" i="6"/>
  <c r="L167" i="6" s="1"/>
  <c r="K247" i="6"/>
  <c r="L247" i="6" s="1"/>
  <c r="L248" i="6" s="1"/>
  <c r="K155" i="6"/>
  <c r="K248" i="10"/>
  <c r="K249" i="10" s="1"/>
  <c r="L249" i="10" s="1"/>
  <c r="K63" i="6"/>
  <c r="L63" i="6" s="1"/>
  <c r="K91" i="6"/>
  <c r="K109" i="6"/>
  <c r="L109" i="6" s="1"/>
  <c r="K137" i="6"/>
  <c r="K256" i="10"/>
  <c r="L256" i="10" s="1"/>
  <c r="K211" i="10"/>
  <c r="L211" i="10" s="1"/>
  <c r="K210" i="10"/>
  <c r="L210" i="10" s="1"/>
  <c r="K165" i="10"/>
  <c r="L165" i="10" s="1"/>
  <c r="K164" i="10"/>
  <c r="L164" i="10" s="1"/>
  <c r="K118" i="10"/>
  <c r="L118" i="10" s="1"/>
  <c r="K119" i="10"/>
  <c r="L119" i="10" s="1"/>
  <c r="K73" i="10"/>
  <c r="L73" i="10" s="1"/>
  <c r="K72" i="10"/>
  <c r="L72" i="10" s="1"/>
  <c r="L27" i="10"/>
  <c r="J155" i="6"/>
  <c r="L183" i="6"/>
  <c r="L91" i="6"/>
  <c r="D63" i="6"/>
  <c r="L83" i="6"/>
  <c r="J201" i="6"/>
  <c r="L229" i="6"/>
  <c r="K202" i="6"/>
  <c r="K203" i="6" s="1"/>
  <c r="L203" i="6" s="1"/>
  <c r="L202" i="6"/>
  <c r="D201" i="6"/>
  <c r="L213" i="6"/>
  <c r="L137" i="6"/>
  <c r="D109" i="6"/>
  <c r="L121" i="6"/>
  <c r="L275" i="6"/>
  <c r="K110" i="6"/>
  <c r="K111" i="6" s="1"/>
  <c r="L111" i="6" s="1"/>
  <c r="L155" i="6"/>
  <c r="L156" i="6" s="1"/>
  <c r="K156" i="6"/>
  <c r="K157" i="6" s="1"/>
  <c r="L157" i="6" s="1"/>
  <c r="L110" i="6"/>
  <c r="J109" i="6"/>
  <c r="J63" i="6"/>
  <c r="L64" i="6"/>
  <c r="K74" i="6" l="1"/>
  <c r="K73" i="6"/>
  <c r="K72" i="6"/>
  <c r="L72" i="6" s="1"/>
  <c r="K211" i="6"/>
  <c r="K210" i="6"/>
  <c r="K164" i="6"/>
  <c r="L164" i="6" s="1"/>
  <c r="K165" i="6"/>
  <c r="L165" i="6" s="1"/>
  <c r="K248" i="6"/>
  <c r="K249" i="6" s="1"/>
  <c r="L249" i="6" s="1"/>
  <c r="K120" i="6"/>
  <c r="K119" i="6"/>
  <c r="K118" i="6"/>
  <c r="K64" i="6"/>
  <c r="K65" i="6" s="1"/>
  <c r="L65" i="6" s="1"/>
  <c r="L119" i="6"/>
  <c r="L118" i="6"/>
  <c r="L120" i="6"/>
  <c r="L73" i="6"/>
  <c r="L74" i="6"/>
  <c r="L210" i="6"/>
  <c r="L211" i="6"/>
  <c r="H17" i="6" a="1"/>
  <c r="H17" i="6" s="1"/>
  <c r="G17" i="6" a="1"/>
  <c r="G17" i="6" s="1"/>
  <c r="L16" i="6"/>
  <c r="J16" i="6"/>
  <c r="I16" i="6" a="1"/>
  <c r="I16" i="6" s="1"/>
  <c r="L15" i="6"/>
  <c r="J15" i="6"/>
  <c r="I15" i="6" a="1"/>
  <c r="I15" i="6" s="1"/>
  <c r="L14" i="6"/>
  <c r="J14" i="6"/>
  <c r="I14" i="6" a="1"/>
  <c r="I14" i="6" s="1"/>
  <c r="L13" i="6"/>
  <c r="J13" i="6"/>
  <c r="I13" i="6" a="1"/>
  <c r="I13" i="6" s="1"/>
  <c r="L12" i="6"/>
  <c r="J12" i="6"/>
  <c r="I12" i="6" a="1"/>
  <c r="I12" i="6" s="1"/>
  <c r="L11" i="6"/>
  <c r="J11" i="6"/>
  <c r="I11" i="6" a="1"/>
  <c r="I11" i="6" s="1"/>
  <c r="L10" i="6"/>
  <c r="J10" i="6"/>
  <c r="I10" i="6" a="1"/>
  <c r="I10" i="6" s="1"/>
  <c r="L9" i="6"/>
  <c r="J9" i="6"/>
  <c r="I9" i="6" a="1"/>
  <c r="I9" i="6" s="1"/>
  <c r="L8" i="6"/>
  <c r="J8" i="6"/>
  <c r="I8" i="6" a="1"/>
  <c r="I8" i="6" s="1"/>
  <c r="L7" i="6"/>
  <c r="K7" i="6"/>
  <c r="J7" i="6"/>
  <c r="I7" i="6"/>
  <c r="G7" i="6"/>
  <c r="K17" i="6"/>
  <c r="L17" i="6" s="1"/>
  <c r="D20" i="6" a="1"/>
  <c r="D20" i="6" s="1"/>
  <c r="C20" i="6"/>
  <c r="B20" i="6"/>
  <c r="L37" i="6"/>
  <c r="L45" i="6" l="1"/>
  <c r="I17" i="6" a="1"/>
  <c r="I17" i="6" s="1"/>
  <c r="K18" i="6"/>
  <c r="K19" i="6" s="1"/>
  <c r="L19" i="6" s="1"/>
  <c r="J17" i="6"/>
  <c r="L18" i="6"/>
  <c r="L26" i="6" l="1"/>
  <c r="L27" i="6"/>
  <c r="L28" i="6"/>
  <c r="B10" i="6"/>
  <c r="L40" i="7" l="1"/>
  <c r="L39" i="7"/>
  <c r="L38" i="7"/>
  <c r="L36" i="7"/>
  <c r="L35" i="7"/>
  <c r="L34" i="7"/>
  <c r="L32" i="7"/>
  <c r="L30" i="7"/>
  <c r="L41" i="7"/>
  <c r="L37" i="7"/>
  <c r="L17" i="7"/>
  <c r="L31" i="7" l="1"/>
  <c r="L33" i="7"/>
  <c r="L27" i="7" l="1"/>
  <c r="L28" i="7"/>
  <c r="L29" i="7"/>
  <c r="L44" i="7" l="1"/>
  <c r="L16" i="7"/>
  <c r="L15" i="7"/>
  <c r="L14" i="7"/>
  <c r="L13" i="7"/>
  <c r="L12" i="7"/>
  <c r="L11" i="7"/>
  <c r="L10" i="7"/>
  <c r="L9" i="7"/>
  <c r="K7" i="7"/>
  <c r="L7" i="7" s="1"/>
  <c r="J7" i="7"/>
  <c r="I7" i="7"/>
  <c r="K18" i="7" l="1"/>
  <c r="K19" i="7" s="1"/>
  <c r="L19" i="7" s="1"/>
  <c r="L46" i="7"/>
  <c r="L18" i="7"/>
  <c r="G45" i="7"/>
  <c r="K45" i="7" s="1"/>
  <c r="L43" i="7"/>
  <c r="G43" i="7"/>
  <c r="G44" i="7"/>
  <c r="L45"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<sst xmlns="http://schemas.openxmlformats.org/spreadsheetml/2006/main" count="6161" uniqueCount="168">
  <si>
    <t>注入ホース</t>
    <rPh sb="0" eb="2">
      <t>チュウニュウ</t>
    </rPh>
    <phoneticPr fontId="1"/>
  </si>
  <si>
    <t>パイロットキャップ</t>
    <phoneticPr fontId="1"/>
  </si>
  <si>
    <t>スペーサ</t>
    <phoneticPr fontId="1"/>
  </si>
  <si>
    <t>結束バンド</t>
    <rPh sb="0" eb="2">
      <t>ケッソク</t>
    </rPh>
    <phoneticPr fontId="1"/>
  </si>
  <si>
    <t>結束テープ</t>
    <rPh sb="0" eb="2">
      <t>ケッソク</t>
    </rPh>
    <phoneticPr fontId="1"/>
  </si>
  <si>
    <t>アンカーヘッド</t>
    <phoneticPr fontId="1"/>
  </si>
  <si>
    <t>調整リング</t>
    <rPh sb="0" eb="2">
      <t>チョウセイ</t>
    </rPh>
    <phoneticPr fontId="1"/>
  </si>
  <si>
    <t>くさび</t>
    <phoneticPr fontId="1"/>
  </si>
  <si>
    <t>止水具スペーサ</t>
    <rPh sb="0" eb="2">
      <t>シスイ</t>
    </rPh>
    <rPh sb="2" eb="3">
      <t>グ</t>
    </rPh>
    <phoneticPr fontId="1"/>
  </si>
  <si>
    <t>配列スペーサ</t>
    <rPh sb="0" eb="2">
      <t>ハイレツ</t>
    </rPh>
    <phoneticPr fontId="1"/>
  </si>
  <si>
    <t>頭部防錆油</t>
    <rPh sb="0" eb="2">
      <t>トウブ</t>
    </rPh>
    <rPh sb="2" eb="4">
      <t>ボウセイ</t>
    </rPh>
    <rPh sb="4" eb="5">
      <t>ユ</t>
    </rPh>
    <phoneticPr fontId="1"/>
  </si>
  <si>
    <t>kg</t>
    <phoneticPr fontId="1"/>
  </si>
  <si>
    <t>m</t>
    <phoneticPr fontId="1"/>
  </si>
  <si>
    <t>個</t>
    <rPh sb="0" eb="1">
      <t>コ</t>
    </rPh>
    <phoneticPr fontId="1"/>
  </si>
  <si>
    <t>本</t>
    <rPh sb="0" eb="1">
      <t>ホン</t>
    </rPh>
    <phoneticPr fontId="1"/>
  </si>
  <si>
    <t>組</t>
    <rPh sb="0" eb="1">
      <t>クミ</t>
    </rPh>
    <phoneticPr fontId="1"/>
  </si>
  <si>
    <t>枚</t>
    <rPh sb="0" eb="1">
      <t>マイ</t>
    </rPh>
    <phoneticPr fontId="1"/>
  </si>
  <si>
    <t>項　　目</t>
    <rPh sb="0" eb="1">
      <t>コウ</t>
    </rPh>
    <rPh sb="3" eb="4">
      <t>メ</t>
    </rPh>
    <phoneticPr fontId="1"/>
  </si>
  <si>
    <t>溝付アンカープレート</t>
    <rPh sb="0" eb="1">
      <t>ミゾ</t>
    </rPh>
    <rPh sb="1" eb="2">
      <t>ツ</t>
    </rPh>
    <phoneticPr fontId="1"/>
  </si>
  <si>
    <t>付着型ECFｽﾄﾗﾝﾄﾞ(部分ｱﾝﾎﾞﾝﾄﾞ)</t>
    <rPh sb="0" eb="2">
      <t>フチャク</t>
    </rPh>
    <rPh sb="2" eb="3">
      <t>ガタ</t>
    </rPh>
    <rPh sb="12" eb="14">
      <t>ブブン</t>
    </rPh>
    <rPh sb="13" eb="15">
      <t>ブブン</t>
    </rPh>
    <phoneticPr fontId="1"/>
  </si>
  <si>
    <t>テンドン工場加工</t>
    <rPh sb="4" eb="6">
      <t>コウジョウ</t>
    </rPh>
    <rPh sb="6" eb="8">
      <t>カコウ</t>
    </rPh>
    <phoneticPr fontId="1"/>
  </si>
  <si>
    <t>単位</t>
    <rPh sb="0" eb="1">
      <t>タン</t>
    </rPh>
    <rPh sb="1" eb="2">
      <t>イ</t>
    </rPh>
    <phoneticPr fontId="1"/>
  </si>
  <si>
    <t>数量</t>
    <rPh sb="0" eb="1">
      <t>スウ</t>
    </rPh>
    <rPh sb="1" eb="2">
      <t>リョウ</t>
    </rPh>
    <phoneticPr fontId="1"/>
  </si>
  <si>
    <t>m</t>
    <phoneticPr fontId="6"/>
  </si>
  <si>
    <t>本</t>
    <rPh sb="0" eb="1">
      <t>ホン</t>
    </rPh>
    <phoneticPr fontId="6"/>
  </si>
  <si>
    <t>アンカー本数　N</t>
    <rPh sb="4" eb="6">
      <t>ホンスウ</t>
    </rPh>
    <phoneticPr fontId="6"/>
  </si>
  <si>
    <t>台</t>
    <rPh sb="0" eb="1">
      <t>ダイ</t>
    </rPh>
    <phoneticPr fontId="1"/>
  </si>
  <si>
    <t>式</t>
    <rPh sb="0" eb="1">
      <t>シキ</t>
    </rPh>
    <phoneticPr fontId="1"/>
  </si>
  <si>
    <t>全体数量</t>
    <rPh sb="0" eb="2">
      <t>ゼンタイ</t>
    </rPh>
    <rPh sb="2" eb="3">
      <t>スウ</t>
    </rPh>
    <rPh sb="3" eb="4">
      <t>リョウ</t>
    </rPh>
    <phoneticPr fontId="1"/>
  </si>
  <si>
    <t>1本当り数量</t>
    <rPh sb="1" eb="2">
      <t>ホン</t>
    </rPh>
    <rPh sb="2" eb="3">
      <t>アタ</t>
    </rPh>
    <rPh sb="4" eb="5">
      <t>スウ</t>
    </rPh>
    <rPh sb="5" eb="6">
      <t>リョウ</t>
    </rPh>
    <phoneticPr fontId="1"/>
  </si>
  <si>
    <t>グラウト注入打設</t>
  </si>
  <si>
    <t>セメントミルク、W/C=50%</t>
    <phoneticPr fontId="1"/>
  </si>
  <si>
    <t>mm</t>
    <phoneticPr fontId="6"/>
  </si>
  <si>
    <t>L=テンドン長</t>
    <phoneticPr fontId="1"/>
  </si>
  <si>
    <t>N=スペーサ数×2</t>
    <rPh sb="6" eb="7">
      <t>スウ</t>
    </rPh>
    <phoneticPr fontId="1"/>
  </si>
  <si>
    <t>m</t>
  </si>
  <si>
    <r>
      <t>アンカー体長　L</t>
    </r>
    <r>
      <rPr>
        <vertAlign val="subscript"/>
        <sz val="9"/>
        <rFont val="ＭＳ Ｐゴシック"/>
        <family val="3"/>
        <charset val="128"/>
      </rPr>
      <t>A</t>
    </r>
    <rPh sb="4" eb="5">
      <t>タイ</t>
    </rPh>
    <rPh sb="5" eb="6">
      <t>チョウ</t>
    </rPh>
    <phoneticPr fontId="6"/>
  </si>
  <si>
    <t>アンカー仕様</t>
    <rPh sb="4" eb="6">
      <t>シヨウ</t>
    </rPh>
    <phoneticPr fontId="1"/>
  </si>
  <si>
    <t>──</t>
    <phoneticPr fontId="13"/>
  </si>
  <si>
    <t>防食構造</t>
  </si>
  <si>
    <t>■アンカー条件</t>
    <rPh sb="5" eb="7">
      <t>ジョウケン</t>
    </rPh>
    <phoneticPr fontId="1"/>
  </si>
  <si>
    <t>地質区分</t>
    <rPh sb="0" eb="2">
      <t>チシツ</t>
    </rPh>
    <rPh sb="2" eb="4">
      <t>クブン</t>
    </rPh>
    <phoneticPr fontId="1"/>
  </si>
  <si>
    <t>数量摘要　　　(1本当り)</t>
  </si>
  <si>
    <t>非削孔</t>
  </si>
  <si>
    <t>削孔径D</t>
    <rPh sb="0" eb="2">
      <t>サッコウ</t>
    </rPh>
    <rPh sb="2" eb="3">
      <t>ケイ</t>
    </rPh>
    <phoneticPr fontId="1"/>
  </si>
  <si>
    <t>削孔長合計</t>
    <rPh sb="3" eb="5">
      <t>ゴウケイ</t>
    </rPh>
    <phoneticPr fontId="1"/>
  </si>
  <si>
    <t>──</t>
  </si>
  <si>
    <t>アンカー長照合</t>
    <rPh sb="4" eb="5">
      <t>チョウ</t>
    </rPh>
    <rPh sb="5" eb="7">
      <t>ショウゴウ</t>
    </rPh>
    <phoneticPr fontId="1"/>
  </si>
  <si>
    <t>無設定</t>
  </si>
  <si>
    <t>軟　岩</t>
  </si>
  <si>
    <t>自由長パッカー</t>
    <rPh sb="0" eb="2">
      <t>ジユウ</t>
    </rPh>
    <rPh sb="2" eb="3">
      <t>チョウ</t>
    </rPh>
    <phoneticPr fontId="1"/>
  </si>
  <si>
    <t>なし</t>
  </si>
  <si>
    <t>あり</t>
  </si>
  <si>
    <t>数量計算条件</t>
    <rPh sb="0" eb="2">
      <t>スウリョウ</t>
    </rPh>
    <rPh sb="2" eb="4">
      <t>ケイサン</t>
    </rPh>
    <rPh sb="4" eb="6">
      <t>ジョウケン</t>
    </rPh>
    <phoneticPr fontId="1"/>
  </si>
  <si>
    <t>■削孔長数量表</t>
    <rPh sb="1" eb="3">
      <t>サッコウ</t>
    </rPh>
    <rPh sb="3" eb="4">
      <t>チョウ</t>
    </rPh>
    <rPh sb="4" eb="6">
      <t>スウリョウ</t>
    </rPh>
    <rPh sb="6" eb="7">
      <t>ヒョウ</t>
    </rPh>
    <phoneticPr fontId="1"/>
  </si>
  <si>
    <r>
      <t>m</t>
    </r>
    <r>
      <rPr>
        <vertAlign val="superscript"/>
        <sz val="9"/>
        <color theme="1"/>
        <rFont val="ＭＳ Ｐゴシック"/>
        <family val="3"/>
        <charset val="128"/>
        <scheme val="minor"/>
      </rPr>
      <t>3</t>
    </r>
    <phoneticPr fontId="1"/>
  </si>
  <si>
    <r>
      <t>V'=π/4×D</t>
    </r>
    <r>
      <rPr>
        <vertAlign val="superscript"/>
        <sz val="9"/>
        <color theme="1"/>
        <rFont val="ＭＳ Ｐゴシック"/>
        <family val="3"/>
        <charset val="128"/>
        <scheme val="minor"/>
      </rPr>
      <t>2</t>
    </r>
    <r>
      <rPr>
        <sz val="9"/>
        <color theme="1"/>
        <rFont val="ＭＳ Ｐゴシック"/>
        <family val="3"/>
        <charset val="128"/>
        <scheme val="minor"/>
      </rPr>
      <t>×(自由長+ｱﾝｶｰ体長-非削孔長)×(1+K)、K=2.2</t>
    </r>
    <rPh sb="10" eb="12">
      <t>ジユウ</t>
    </rPh>
    <rPh sb="12" eb="13">
      <t>チョウ</t>
    </rPh>
    <rPh sb="18" eb="19">
      <t>タイ</t>
    </rPh>
    <rPh sb="19" eb="20">
      <t>チョウ</t>
    </rPh>
    <rPh sb="22" eb="23">
      <t>ヒ</t>
    </rPh>
    <rPh sb="23" eb="25">
      <t>サッコウ</t>
    </rPh>
    <rPh sb="25" eb="26">
      <t>チョウ</t>
    </rPh>
    <phoneticPr fontId="1"/>
  </si>
  <si>
    <t>設計削孔径　D</t>
    <rPh sb="0" eb="2">
      <t>セッケイ</t>
    </rPh>
    <rPh sb="2" eb="4">
      <t>サッコウ</t>
    </rPh>
    <rPh sb="4" eb="5">
      <t>ケイ</t>
    </rPh>
    <phoneticPr fontId="1"/>
  </si>
  <si>
    <t>施工機械</t>
  </si>
  <si>
    <t>削孔地層名称</t>
    <rPh sb="0" eb="2">
      <t>サッコウ</t>
    </rPh>
    <rPh sb="2" eb="4">
      <t>チソウ</t>
    </rPh>
    <rPh sb="4" eb="5">
      <t>メイ</t>
    </rPh>
    <rPh sb="5" eb="6">
      <t>ショウ</t>
    </rPh>
    <phoneticPr fontId="1"/>
  </si>
  <si>
    <t>防食Ⅱ</t>
  </si>
  <si>
    <t>無設定</t>
    <phoneticPr fontId="1"/>
  </si>
  <si>
    <t>ﾛｰﾀﾘｰﾊﾟｰｶｯｼｮﾝ二重管削孔方式，ｸﾛｰﾗ型削孔機81kW級</t>
  </si>
  <si>
    <t>除去J5-6</t>
  </si>
  <si>
    <t>【1段目】</t>
  </si>
  <si>
    <t>【2段目】</t>
    <phoneticPr fontId="1"/>
  </si>
  <si>
    <t>DA660</t>
  </si>
  <si>
    <t>H350</t>
  </si>
  <si>
    <t>CL～CM</t>
    <phoneticPr fontId="1"/>
  </si>
  <si>
    <t>緊張余長　L1</t>
    <rPh sb="0" eb="2">
      <t>キンチョウ</t>
    </rPh>
    <rPh sb="2" eb="4">
      <t>ヨチョウ</t>
    </rPh>
    <phoneticPr fontId="1"/>
  </si>
  <si>
    <t>土留め台座</t>
  </si>
  <si>
    <t>　</t>
  </si>
  <si>
    <t>腹起し＋土留め台座</t>
  </si>
  <si>
    <t>頭部背面管削孔長　Lh</t>
    <rPh sb="0" eb="2">
      <t>トウブ</t>
    </rPh>
    <rPh sb="2" eb="4">
      <t>ハイメン</t>
    </rPh>
    <rPh sb="4" eb="5">
      <t>カン</t>
    </rPh>
    <rPh sb="5" eb="7">
      <t>サッコウ</t>
    </rPh>
    <rPh sb="7" eb="8">
      <t>チョウ</t>
    </rPh>
    <phoneticPr fontId="1"/>
  </si>
  <si>
    <t>先端削孔長　L3d</t>
    <rPh sb="0" eb="2">
      <t>センタン</t>
    </rPh>
    <rPh sb="2" eb="4">
      <t>サッコウ</t>
    </rPh>
    <rPh sb="4" eb="5">
      <t>チョウ</t>
    </rPh>
    <phoneticPr fontId="1"/>
  </si>
  <si>
    <r>
      <t>先端長　L</t>
    </r>
    <r>
      <rPr>
        <sz val="9"/>
        <color theme="1"/>
        <rFont val="ＭＳ Ｐゴシック"/>
        <family val="3"/>
        <charset val="128"/>
        <scheme val="minor"/>
      </rPr>
      <t>3</t>
    </r>
    <rPh sb="0" eb="2">
      <t>センタン</t>
    </rPh>
    <rPh sb="2" eb="3">
      <t>チョウ</t>
    </rPh>
    <phoneticPr fontId="1"/>
  </si>
  <si>
    <t>除去J5-2</t>
  </si>
  <si>
    <t>【0段目】</t>
    <phoneticPr fontId="1"/>
  </si>
  <si>
    <t>規　　格</t>
  </si>
  <si>
    <t>除去J5-8</t>
  </si>
  <si>
    <t>【短期仮設：KJS残置アンカー数量表・材料規格】</t>
  </si>
  <si>
    <t>残置J5-5</t>
  </si>
  <si>
    <t>防食Ⅰ</t>
  </si>
  <si>
    <t>残置J5-4</t>
  </si>
  <si>
    <t>付帯条件</t>
    <rPh sb="0" eb="2">
      <t>フタイ</t>
    </rPh>
    <rPh sb="2" eb="4">
      <t>ジョウケン</t>
    </rPh>
    <phoneticPr fontId="1"/>
  </si>
  <si>
    <t>EHD5-4</t>
  </si>
  <si>
    <t>のり面角度台座</t>
  </si>
  <si>
    <t>礫質土</t>
  </si>
  <si>
    <t>【長期：EHDアンカー数量表・材料規格】</t>
  </si>
  <si>
    <t>DB660</t>
  </si>
  <si>
    <t>DB530</t>
  </si>
  <si>
    <t>風化シルト岩砂岩互層</t>
    <rPh sb="0" eb="2">
      <t>フウカ</t>
    </rPh>
    <rPh sb="5" eb="6">
      <t>ガン</t>
    </rPh>
    <rPh sb="6" eb="8">
      <t>サガン</t>
    </rPh>
    <rPh sb="8" eb="10">
      <t>ゴソウ</t>
    </rPh>
    <phoneticPr fontId="1"/>
  </si>
  <si>
    <t>砂質土</t>
  </si>
  <si>
    <t>シルト岩砂岩互層</t>
    <rPh sb="3" eb="4">
      <t>ガン</t>
    </rPh>
    <rPh sb="4" eb="6">
      <t>サガン</t>
    </rPh>
    <rPh sb="6" eb="8">
      <t>ゴソウ</t>
    </rPh>
    <phoneticPr fontId="1"/>
  </si>
  <si>
    <t>■〇〇橋_A1橋台_土留めアンカー検討_1-1断面</t>
    <rPh sb="3" eb="4">
      <t>ハシ</t>
    </rPh>
    <rPh sb="7" eb="9">
      <t>キョウダイ</t>
    </rPh>
    <rPh sb="10" eb="11">
      <t>ツチ</t>
    </rPh>
    <rPh sb="17" eb="19">
      <t>ケントウ</t>
    </rPh>
    <rPh sb="23" eb="25">
      <t>ダンメン</t>
    </rPh>
    <phoneticPr fontId="1"/>
  </si>
  <si>
    <t>【短期仮設：KJS除去アンカー数量表・材料規格】</t>
  </si>
  <si>
    <t>H300</t>
  </si>
  <si>
    <t>軟質～硬質シラス</t>
    <rPh sb="0" eb="1">
      <t>ナン</t>
    </rPh>
    <rPh sb="1" eb="2">
      <t>シツ</t>
    </rPh>
    <rPh sb="3" eb="5">
      <t>コウシツ</t>
    </rPh>
    <phoneticPr fontId="1"/>
  </si>
  <si>
    <t>除去J5-4</t>
  </si>
  <si>
    <t>【南側＿1段目】</t>
    <rPh sb="1" eb="3">
      <t>ミナミガワ</t>
    </rPh>
    <phoneticPr fontId="1"/>
  </si>
  <si>
    <t>【南側＿2段目】</t>
    <rPh sb="1" eb="3">
      <t>ミナミガワ</t>
    </rPh>
    <phoneticPr fontId="1"/>
  </si>
  <si>
    <t>【北側＿1段目】</t>
    <rPh sb="1" eb="3">
      <t>キタガワ</t>
    </rPh>
    <phoneticPr fontId="1"/>
  </si>
  <si>
    <t>【北側＿2段目】</t>
    <rPh sb="1" eb="3">
      <t>キタガワ</t>
    </rPh>
    <phoneticPr fontId="1"/>
  </si>
  <si>
    <t>沖積層～洪積層</t>
    <rPh sb="0" eb="2">
      <t>チュウセキ</t>
    </rPh>
    <rPh sb="2" eb="3">
      <t>ソウ</t>
    </rPh>
    <rPh sb="4" eb="6">
      <t>コウセキ</t>
    </rPh>
    <rPh sb="6" eb="7">
      <t>ソウ</t>
    </rPh>
    <phoneticPr fontId="1"/>
  </si>
  <si>
    <t>のり枠□600</t>
  </si>
  <si>
    <t>dt2</t>
    <phoneticPr fontId="1"/>
  </si>
  <si>
    <t>dt1</t>
    <phoneticPr fontId="1"/>
  </si>
  <si>
    <t>風化岩</t>
    <rPh sb="0" eb="2">
      <t>フウカ</t>
    </rPh>
    <rPh sb="2" eb="3">
      <t>ガン</t>
    </rPh>
    <phoneticPr fontId="1"/>
  </si>
  <si>
    <t>地盤部自由長　Lfg</t>
    <rPh sb="0" eb="2">
      <t>ジバン</t>
    </rPh>
    <rPh sb="2" eb="3">
      <t>ブ</t>
    </rPh>
    <rPh sb="3" eb="5">
      <t>ジユウ</t>
    </rPh>
    <rPh sb="5" eb="6">
      <t>チョウ</t>
    </rPh>
    <phoneticPr fontId="6"/>
  </si>
  <si>
    <r>
      <t>テンドン長　L=Lfg+L</t>
    </r>
    <r>
      <rPr>
        <vertAlign val="subscript"/>
        <sz val="9"/>
        <color theme="1"/>
        <rFont val="ＭＳ Ｐゴシック"/>
        <family val="3"/>
        <charset val="128"/>
        <scheme val="minor"/>
      </rPr>
      <t>A</t>
    </r>
    <r>
      <rPr>
        <sz val="9"/>
        <color theme="1"/>
        <rFont val="ＭＳ Ｐゴシック"/>
        <family val="3"/>
        <charset val="128"/>
        <scheme val="minor"/>
      </rPr>
      <t>+Lfh+L1</t>
    </r>
    <phoneticPr fontId="1"/>
  </si>
  <si>
    <t>ﾛｰﾀﾘｰﾊﾟｰｶｯｼｮﾝ二重管削孔方式，ｽｷｯﾄﾞ型削孔機55kW級</t>
  </si>
  <si>
    <t>■検討名称　：　〇〇県〇〇市国道〇〇号_のり面アンカー対策検討</t>
    <rPh sb="1" eb="3">
      <t>ケントウ</t>
    </rPh>
    <rPh sb="3" eb="5">
      <t>メイショウ</t>
    </rPh>
    <rPh sb="8" eb="11">
      <t>００ケン</t>
    </rPh>
    <rPh sb="13" eb="14">
      <t>シ</t>
    </rPh>
    <rPh sb="14" eb="16">
      <t>コクドウ</t>
    </rPh>
    <rPh sb="18" eb="19">
      <t>ゴウ</t>
    </rPh>
    <rPh sb="22" eb="23">
      <t>メン</t>
    </rPh>
    <rPh sb="27" eb="29">
      <t>タイサク</t>
    </rPh>
    <rPh sb="29" eb="31">
      <t>ケントウ</t>
    </rPh>
    <phoneticPr fontId="1"/>
  </si>
  <si>
    <t>EHD5-3</t>
  </si>
  <si>
    <t>角度台座＋受圧板</t>
  </si>
  <si>
    <t>弱風化岩 D</t>
    <rPh sb="0" eb="1">
      <t>ジャク</t>
    </rPh>
    <rPh sb="1" eb="3">
      <t>フウカ</t>
    </rPh>
    <rPh sb="3" eb="4">
      <t>ガン</t>
    </rPh>
    <phoneticPr fontId="1"/>
  </si>
  <si>
    <t>風化岩 CL</t>
    <rPh sb="0" eb="2">
      <t>フウカ</t>
    </rPh>
    <rPh sb="2" eb="3">
      <t>ガン</t>
    </rPh>
    <phoneticPr fontId="1"/>
  </si>
  <si>
    <t>EHD5-2</t>
  </si>
  <si>
    <t>【1段目-1】</t>
    <rPh sb="2" eb="3">
      <t>ダン</t>
    </rPh>
    <rPh sb="3" eb="4">
      <t>メ</t>
    </rPh>
    <phoneticPr fontId="1"/>
  </si>
  <si>
    <t>【1段目-2】</t>
    <rPh sb="2" eb="3">
      <t>ダン</t>
    </rPh>
    <rPh sb="3" eb="4">
      <t>メ</t>
    </rPh>
    <phoneticPr fontId="1"/>
  </si>
  <si>
    <t>除去J6-10</t>
  </si>
  <si>
    <t>N=mround(アンカー体長-0.4)÷@1.0m, 1.0)</t>
    <rPh sb="12" eb="13">
      <t>タイ</t>
    </rPh>
    <rPh sb="14" eb="15">
      <t>チョウ</t>
    </rPh>
    <phoneticPr fontId="1"/>
  </si>
  <si>
    <t>※先端削孔長を見込まない場合は、N1セルに"0.0"を入力</t>
    <rPh sb="1" eb="3">
      <t>センタン</t>
    </rPh>
    <rPh sb="3" eb="5">
      <t>サッコウ</t>
    </rPh>
    <rPh sb="5" eb="6">
      <t>チョウ</t>
    </rPh>
    <rPh sb="7" eb="9">
      <t>ミコ</t>
    </rPh>
    <rPh sb="12" eb="14">
      <t>バアイ</t>
    </rPh>
    <rPh sb="27" eb="29">
      <t>ニュウリョク</t>
    </rPh>
    <phoneticPr fontId="1"/>
  </si>
  <si>
    <r>
      <t>最小削孔径　D</t>
    </r>
    <r>
      <rPr>
        <vertAlign val="subscript"/>
        <sz val="9"/>
        <color theme="1"/>
        <rFont val="ＭＳ Ｐゴシック"/>
        <family val="3"/>
        <charset val="128"/>
        <scheme val="minor"/>
      </rPr>
      <t>min</t>
    </r>
    <rPh sb="0" eb="1">
      <t>サイ</t>
    </rPh>
    <rPh sb="1" eb="2">
      <t>ショウ</t>
    </rPh>
    <rPh sb="2" eb="4">
      <t>サッコウ</t>
    </rPh>
    <rPh sb="4" eb="5">
      <t>ケイ</t>
    </rPh>
    <phoneticPr fontId="1"/>
  </si>
  <si>
    <r>
      <t>設計削孔径　D</t>
    </r>
    <r>
      <rPr>
        <vertAlign val="subscript"/>
        <sz val="9"/>
        <color theme="1"/>
        <rFont val="ＭＳ Ｐゴシック"/>
        <family val="3"/>
        <charset val="128"/>
        <scheme val="minor"/>
      </rPr>
      <t>A</t>
    </r>
    <rPh sb="0" eb="2">
      <t>セッケイ</t>
    </rPh>
    <rPh sb="2" eb="4">
      <t>サッコウ</t>
    </rPh>
    <rPh sb="4" eb="5">
      <t>ケイ</t>
    </rPh>
    <phoneticPr fontId="1"/>
  </si>
  <si>
    <r>
      <t>削孔長合計 ΣLdi=Lfg+L</t>
    </r>
    <r>
      <rPr>
        <vertAlign val="subscript"/>
        <sz val="9"/>
        <color theme="1"/>
        <rFont val="ＭＳ Ｐゴシック"/>
        <family val="3"/>
        <charset val="128"/>
        <scheme val="minor"/>
      </rPr>
      <t>A</t>
    </r>
    <r>
      <rPr>
        <sz val="9"/>
        <color theme="1"/>
        <rFont val="ＭＳ Ｐゴシック"/>
        <family val="2"/>
        <charset val="128"/>
        <scheme val="minor"/>
      </rPr>
      <t>+L2d</t>
    </r>
    <rPh sb="3" eb="5">
      <t>ゴウケイ</t>
    </rPh>
    <phoneticPr fontId="1"/>
  </si>
  <si>
    <r>
      <t>先端部長　L</t>
    </r>
    <r>
      <rPr>
        <sz val="9"/>
        <color theme="1"/>
        <rFont val="ＭＳ Ｐゴシック"/>
        <family val="3"/>
        <charset val="128"/>
        <scheme val="minor"/>
      </rPr>
      <t>2</t>
    </r>
    <rPh sb="0" eb="2">
      <t>センタン</t>
    </rPh>
    <rPh sb="2" eb="3">
      <t>ブ</t>
    </rPh>
    <rPh sb="3" eb="4">
      <t>チョウ</t>
    </rPh>
    <phoneticPr fontId="1"/>
  </si>
  <si>
    <r>
      <t>テンドン長　L=Lfh+Lfg+L</t>
    </r>
    <r>
      <rPr>
        <vertAlign val="subscript"/>
        <sz val="9"/>
        <color theme="1"/>
        <rFont val="ＭＳ Ｐゴシック"/>
        <family val="3"/>
        <charset val="128"/>
        <scheme val="minor"/>
      </rPr>
      <t>A</t>
    </r>
    <r>
      <rPr>
        <sz val="9"/>
        <color theme="1"/>
        <rFont val="ＭＳ Ｐゴシック"/>
        <family val="3"/>
        <charset val="128"/>
        <scheme val="minor"/>
      </rPr>
      <t>+L1</t>
    </r>
    <phoneticPr fontId="1"/>
  </si>
  <si>
    <t>先端長　L2d</t>
    <rPh sb="0" eb="2">
      <t>センタン</t>
    </rPh>
    <rPh sb="2" eb="3">
      <t>チョウ</t>
    </rPh>
    <phoneticPr fontId="1"/>
  </si>
  <si>
    <t>EHD5-12</t>
  </si>
  <si>
    <t>【1段目-3】</t>
    <rPh sb="2" eb="3">
      <t>ダン</t>
    </rPh>
    <rPh sb="3" eb="4">
      <t>メ</t>
    </rPh>
    <phoneticPr fontId="1"/>
  </si>
  <si>
    <t>【2段目-1】</t>
    <rPh sb="2" eb="3">
      <t>ダン</t>
    </rPh>
    <rPh sb="3" eb="4">
      <t>メ</t>
    </rPh>
    <phoneticPr fontId="1"/>
  </si>
  <si>
    <t>【2段目-2】</t>
    <rPh sb="2" eb="3">
      <t>ダン</t>
    </rPh>
    <rPh sb="3" eb="4">
      <t>メ</t>
    </rPh>
    <phoneticPr fontId="1"/>
  </si>
  <si>
    <t>【2段目-3】</t>
    <rPh sb="2" eb="3">
      <t>ダン</t>
    </rPh>
    <rPh sb="3" eb="4">
      <t>メ</t>
    </rPh>
    <phoneticPr fontId="1"/>
  </si>
  <si>
    <t>Dg</t>
    <phoneticPr fontId="1"/>
  </si>
  <si>
    <t>風化岩 CL1</t>
    <rPh sb="0" eb="2">
      <t>フウカ</t>
    </rPh>
    <rPh sb="2" eb="3">
      <t>ガン</t>
    </rPh>
    <phoneticPr fontId="1"/>
  </si>
  <si>
    <t>風化岩 CL2</t>
    <rPh sb="0" eb="2">
      <t>フウカ</t>
    </rPh>
    <rPh sb="2" eb="3">
      <t>ガン</t>
    </rPh>
    <phoneticPr fontId="1"/>
  </si>
  <si>
    <t>【本設：EHDアンカーHP工法 数量表・材料規格】</t>
  </si>
  <si>
    <t>【のり1段_ｱﾝｶｰ1段目】</t>
    <rPh sb="4" eb="5">
      <t>ダン</t>
    </rPh>
    <rPh sb="11" eb="13">
      <t>ダンメ</t>
    </rPh>
    <phoneticPr fontId="1"/>
  </si>
  <si>
    <t>1本数量Ldi</t>
    <rPh sb="1" eb="2">
      <t>ホン</t>
    </rPh>
    <rPh sb="2" eb="3">
      <t>スウ</t>
    </rPh>
    <rPh sb="3" eb="4">
      <t>リョウ</t>
    </rPh>
    <phoneticPr fontId="1"/>
  </si>
  <si>
    <t>EHD5-8H</t>
  </si>
  <si>
    <t>頭部キャップ</t>
    <rPh sb="0" eb="2">
      <t>トウブ</t>
    </rPh>
    <phoneticPr fontId="1"/>
  </si>
  <si>
    <t>透明キャップ</t>
  </si>
  <si>
    <t>頭部受圧体</t>
    <rPh sb="0" eb="2">
      <t>トウブ</t>
    </rPh>
    <rPh sb="2" eb="4">
      <t>ジュアツ</t>
    </rPh>
    <rPh sb="4" eb="5">
      <t>タイ</t>
    </rPh>
    <phoneticPr fontId="1"/>
  </si>
  <si>
    <t>受圧体のみ</t>
  </si>
  <si>
    <t>特殊地盤</t>
  </si>
  <si>
    <t>自由長　Lf</t>
    <rPh sb="0" eb="2">
      <t>ジユウ</t>
    </rPh>
    <rPh sb="2" eb="3">
      <t>チョウ</t>
    </rPh>
    <phoneticPr fontId="1"/>
  </si>
  <si>
    <t>緊張部長　L1</t>
    <rPh sb="0" eb="2">
      <t>キンチョウ</t>
    </rPh>
    <rPh sb="2" eb="4">
      <t>ブチョウ</t>
    </rPh>
    <phoneticPr fontId="1"/>
  </si>
  <si>
    <r>
      <t>テンドン長　L=L</t>
    </r>
    <r>
      <rPr>
        <vertAlign val="subscript"/>
        <sz val="9"/>
        <color theme="1"/>
        <rFont val="ＭＳ Ｐゴシック"/>
        <family val="3"/>
        <charset val="128"/>
        <scheme val="minor"/>
      </rPr>
      <t>A</t>
    </r>
    <r>
      <rPr>
        <sz val="9"/>
        <color theme="1"/>
        <rFont val="ＭＳ Ｐゴシック"/>
        <family val="3"/>
        <charset val="128"/>
        <scheme val="minor"/>
      </rPr>
      <t>+Lf+L1+L2</t>
    </r>
    <phoneticPr fontId="1"/>
  </si>
  <si>
    <t>規　格 ・ 仕　様</t>
    <rPh sb="6" eb="7">
      <t>シ</t>
    </rPh>
    <rPh sb="8" eb="9">
      <t>サマ</t>
    </rPh>
    <phoneticPr fontId="1"/>
  </si>
  <si>
    <t>1本数量</t>
    <rPh sb="1" eb="2">
      <t>ホン</t>
    </rPh>
    <rPh sb="2" eb="3">
      <t>スウ</t>
    </rPh>
    <rPh sb="3" eb="4">
      <t>リョウ</t>
    </rPh>
    <phoneticPr fontId="1"/>
  </si>
  <si>
    <t>硅砂付着ECFテンドン</t>
    <rPh sb="0" eb="2">
      <t>ケイサ</t>
    </rPh>
    <rPh sb="2" eb="4">
      <t>フチャク</t>
    </rPh>
    <phoneticPr fontId="1"/>
  </si>
  <si>
    <t>アンカー工場加工</t>
    <rPh sb="4" eb="6">
      <t>コウジョウ</t>
    </rPh>
    <rPh sb="6" eb="8">
      <t>カコウ</t>
    </rPh>
    <phoneticPr fontId="1"/>
  </si>
  <si>
    <t>ナット</t>
    <phoneticPr fontId="1"/>
  </si>
  <si>
    <t>押え板</t>
    <rPh sb="0" eb="1">
      <t>オサ</t>
    </rPh>
    <rPh sb="2" eb="3">
      <t>イタ</t>
    </rPh>
    <phoneticPr fontId="1"/>
  </si>
  <si>
    <t>止水ゴム</t>
    <rPh sb="0" eb="2">
      <t>シスイ</t>
    </rPh>
    <phoneticPr fontId="1"/>
  </si>
  <si>
    <t>n=mround(アンカー体長-0.4)÷@1.0m, 1.0)</t>
    <rPh sb="12" eb="13">
      <t>タイ</t>
    </rPh>
    <rPh sb="14" eb="15">
      <t>チョウ</t>
    </rPh>
    <phoneticPr fontId="1"/>
  </si>
  <si>
    <t>n=スペーサ数×2</t>
    <rPh sb="6" eb="7">
      <t>スウ</t>
    </rPh>
    <phoneticPr fontId="1"/>
  </si>
  <si>
    <r>
      <t>V'=π/4×D</t>
    </r>
    <r>
      <rPr>
        <vertAlign val="superscript"/>
        <sz val="9"/>
        <color theme="1"/>
        <rFont val="ＭＳ Ｐゴシック"/>
        <family val="3"/>
        <charset val="128"/>
        <scheme val="minor"/>
      </rPr>
      <t>2</t>
    </r>
    <r>
      <rPr>
        <sz val="9"/>
        <color theme="1"/>
        <rFont val="ＭＳ Ｐゴシック"/>
        <family val="3"/>
        <charset val="128"/>
        <scheme val="minor"/>
      </rPr>
      <t>×(地盤自由長+ｱﾝｶｰ体長+先端長)×(1+K)、K=2.2</t>
    </r>
    <rPh sb="11" eb="13">
      <t>ジバン</t>
    </rPh>
    <rPh sb="13" eb="15">
      <t>ジユウ</t>
    </rPh>
    <rPh sb="14" eb="15">
      <t>チョウ</t>
    </rPh>
    <rPh sb="20" eb="21">
      <t>タイ</t>
    </rPh>
    <rPh sb="21" eb="22">
      <t>チョウ</t>
    </rPh>
    <rPh sb="24" eb="26">
      <t>センタン</t>
    </rPh>
    <rPh sb="26" eb="27">
      <t>チョウ</t>
    </rPh>
    <phoneticPr fontId="1"/>
  </si>
  <si>
    <t>【のり1段_ｱﾝｶｰ2段目】</t>
    <rPh sb="4" eb="5">
      <t>ダン</t>
    </rPh>
    <rPh sb="11" eb="13">
      <t>ダンメ</t>
    </rPh>
    <phoneticPr fontId="1"/>
  </si>
  <si>
    <t>EHD5-4H</t>
  </si>
  <si>
    <t>のり面角度台座付</t>
  </si>
  <si>
    <t>【のり2段_ｱﾝｶｰ1段目】</t>
    <rPh sb="4" eb="5">
      <t>ダン</t>
    </rPh>
    <rPh sb="11" eb="13">
      <t>ダンメ</t>
    </rPh>
    <phoneticPr fontId="1"/>
  </si>
  <si>
    <t>【のり2段_ｱﾝｶｰ2段目】</t>
    <rPh sb="4" eb="5">
      <t>ダン</t>
    </rPh>
    <rPh sb="11" eb="13">
      <t>ダンメ</t>
    </rPh>
    <phoneticPr fontId="1"/>
  </si>
  <si>
    <t>【のり3段_ｱﾝｶｰ1段目】</t>
    <rPh sb="4" eb="5">
      <t>ダン</t>
    </rPh>
    <rPh sb="11" eb="13">
      <t>ダンメ</t>
    </rPh>
    <phoneticPr fontId="1"/>
  </si>
  <si>
    <t>【のり3段_ｱﾝｶｰ2段目】</t>
    <rPh sb="4" eb="5">
      <t>ダン</t>
    </rPh>
    <rPh sb="11" eb="13">
      <t>ダンメ</t>
    </rPh>
    <phoneticPr fontId="1"/>
  </si>
  <si>
    <t>【のり4段_ｱﾝｶｰ1段目】</t>
    <rPh sb="4" eb="5">
      <t>ダン</t>
    </rPh>
    <rPh sb="11" eb="13">
      <t>ダンメ</t>
    </rPh>
    <phoneticPr fontId="1"/>
  </si>
  <si>
    <t>【のり4段_ｱﾝｶｰ2段目】</t>
    <rPh sb="4" eb="5">
      <t>ダン</t>
    </rPh>
    <rPh sb="11" eb="13">
      <t>ダンメ</t>
    </rPh>
    <phoneticPr fontId="1"/>
  </si>
  <si>
    <t>アルミキャッフ゜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</si>
</sst>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quot;φ&quot;##0"/>
    <numFmt numFmtId="178" formatCode="0.000"/>
  </numFmts>
  <fonts count="1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1"/>
      <color rgb="FF0000FF"/>
      <name val="ＭＳ Ｐゴシック"/>
      <family val="3"/>
      <charset val="128"/>
      <scheme val="minor"/>
    </font>
    <font>
      <sz val="11"/>
      <color theme="1"/>
      <name val="ＭＳ Ｐゴシック"/>
      <family val="2"/>
      <charset val="128"/>
      <scheme val="minor"/>
    </font>
    <font>
      <sz val="6"/>
      <name val="明朝"/>
      <family val="1"/>
      <charset val="128"/>
    </font>
    <font>
      <sz val="9"/>
      <color theme="1"/>
      <name val="ＭＳ Ｐゴシック"/>
      <family val="3"/>
      <charset val="128"/>
    </font>
    <font>
      <sz val="9"/>
      <name val="ＭＳ Ｐゴシック"/>
      <family val="3"/>
      <charset val="128"/>
    </font>
    <font>
      <sz val="11"/>
      <name val="ＭＳ 明朝"/>
      <family val="1"/>
      <charset val="128"/>
    </font>
    <font>
      <b/>
      <sz val="10"/>
      <color rgb="FF0000FF"/>
      <name val="ＭＳ Ｐゴシック"/>
      <family val="3"/>
      <charset val="128"/>
      <scheme val="minor"/>
    </font>
    <font>
      <vertAlign val="subscript"/>
      <sz val="9"/>
      <name val="ＭＳ Ｐゴシック"/>
      <family val="3"/>
      <charset val="128"/>
    </font>
    <font>
      <vertAlign val="subscript"/>
      <sz val="9"/>
      <color theme="1"/>
      <name val="ＭＳ Ｐゴシック"/>
      <family val="3"/>
      <charset val="128"/>
      <scheme val="minor"/>
    </font>
    <font>
      <sz val="6"/>
      <name val="ＭＳ Ｐゴシック"/>
      <family val="3"/>
      <charset val="128"/>
      <scheme val="minor"/>
    </font>
    <font>
      <vertAlign val="superscript"/>
      <sz val="9"/>
      <color theme="1"/>
      <name val="ＭＳ Ｐゴシック"/>
      <family val="3"/>
      <charset val="128"/>
      <scheme val="minor"/>
    </font>
    <font>
      <sz val="8.5"/>
      <color theme="1"/>
      <name val="ＭＳ Ｐゴシック"/>
      <family val="3"/>
      <charset val="128"/>
      <scheme val="minor"/>
    </font>
    <font>
      <b/>
      <sz val="9"/>
      <color rgb="FF0000FF"/>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hair">
        <color auto="1"/>
      </top>
      <bottom style="thin">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hair">
        <color auto="1"/>
      </top>
      <bottom style="thin">
        <color indexed="64"/>
      </bottom>
      <diagonal/>
    </border>
    <border>
      <left/>
      <right/>
      <top style="thin">
        <color indexed="64"/>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auto="1"/>
      </left>
      <right/>
      <top style="thin">
        <color auto="1"/>
      </top>
      <bottom style="thin">
        <color auto="1"/>
      </bottom>
      <diagonal/>
    </border>
    <border>
      <left/>
      <right/>
      <top/>
      <bottom style="hair">
        <color indexed="64"/>
      </bottom>
      <diagonal/>
    </border>
    <border>
      <left/>
      <right/>
      <top style="hair">
        <color indexed="64"/>
      </top>
      <bottom style="hair">
        <color indexed="64"/>
      </bottom>
      <diagonal/>
    </border>
    <border>
      <left/>
      <right style="thin">
        <color auto="1"/>
      </right>
      <top style="thin">
        <color auto="1"/>
      </top>
      <bottom style="thin">
        <color auto="1"/>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5" fillId="0" borderId="0" applyFont="0" applyFill="0" applyBorder="0" applyAlignment="0" applyProtection="0">
      <alignment vertical="center"/>
    </xf>
    <xf numFmtId="0" fontId="9" fillId="0" borderId="0"/>
  </cellStyleXfs>
  <cellXfs count="255">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4" fillId="0" borderId="0" xfId="0" applyFont="1">
      <alignment vertical="center"/>
    </xf>
    <xf numFmtId="0" fontId="3" fillId="0" borderId="3" xfId="0" applyFont="1" applyBorder="1">
      <alignment vertical="center"/>
    </xf>
    <xf numFmtId="0" fontId="3" fillId="0" borderId="3" xfId="0" applyFont="1" applyBorder="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xf>
    <xf numFmtId="0" fontId="2" fillId="0" borderId="0" xfId="0" applyFont="1" applyAlignment="1">
      <alignment horizontal="left" vertical="center"/>
    </xf>
    <xf numFmtId="0" fontId="3" fillId="0" borderId="5" xfId="0" applyFont="1" applyBorder="1">
      <alignment vertical="center"/>
    </xf>
    <xf numFmtId="0" fontId="3" fillId="0" borderId="5" xfId="0" applyFont="1" applyBorder="1" applyAlignment="1">
      <alignment horizontal="center" vertical="center"/>
    </xf>
    <xf numFmtId="0" fontId="3" fillId="0" borderId="6" xfId="0" applyFont="1" applyBorder="1">
      <alignment vertical="center"/>
    </xf>
    <xf numFmtId="0" fontId="3" fillId="0" borderId="6" xfId="0" applyFont="1" applyBorder="1" applyAlignment="1">
      <alignment horizontal="center" vertical="center"/>
    </xf>
    <xf numFmtId="0" fontId="0" fillId="0" borderId="0" xfId="0" quotePrefix="1">
      <alignment vertical="center"/>
    </xf>
    <xf numFmtId="0" fontId="3" fillId="0" borderId="1" xfId="0" applyFont="1" applyBorder="1">
      <alignment vertical="center"/>
    </xf>
    <xf numFmtId="0" fontId="10" fillId="0" borderId="0" xfId="0" applyFont="1">
      <alignment vertical="center"/>
    </xf>
    <xf numFmtId="0" fontId="3" fillId="0" borderId="28" xfId="0" applyFont="1" applyBorder="1" applyAlignment="1">
      <alignment horizontal="center" vertical="center"/>
    </xf>
    <xf numFmtId="0" fontId="3" fillId="0" borderId="0" xfId="0" applyFont="1" applyAlignment="1">
      <alignment horizontal="center" vertical="center"/>
    </xf>
    <xf numFmtId="0" fontId="8" fillId="0" borderId="14" xfId="0" applyFont="1" applyBorder="1" applyAlignment="1">
      <alignment horizontal="center" vertical="center"/>
    </xf>
    <xf numFmtId="1" fontId="8" fillId="0" borderId="0" xfId="0" applyNumberFormat="1" applyFont="1" applyAlignment="1">
      <alignment horizontal="center" vertical="center"/>
    </xf>
    <xf numFmtId="0" fontId="3" fillId="0" borderId="0" xfId="0" applyFont="1">
      <alignment vertical="center"/>
    </xf>
    <xf numFmtId="176" fontId="8" fillId="0" borderId="0" xfId="0" applyNumberFormat="1" applyFont="1" applyAlignment="1">
      <alignment horizontal="center" vertical="center"/>
    </xf>
    <xf numFmtId="0" fontId="8" fillId="0" borderId="10" xfId="0" applyFont="1" applyBorder="1">
      <alignment vertical="center"/>
    </xf>
    <xf numFmtId="0" fontId="8" fillId="0" borderId="2" xfId="0" applyFont="1" applyBorder="1" applyAlignment="1">
      <alignment horizontal="center" vertical="center"/>
    </xf>
    <xf numFmtId="176" fontId="8" fillId="0" borderId="11" xfId="0" applyNumberFormat="1" applyFont="1" applyBorder="1" applyAlignment="1">
      <alignment horizontal="center" vertical="center"/>
    </xf>
    <xf numFmtId="0" fontId="3" fillId="0" borderId="16" xfId="0" applyFont="1" applyBorder="1">
      <alignment vertical="center"/>
    </xf>
    <xf numFmtId="0" fontId="8" fillId="0" borderId="4" xfId="0" applyFont="1" applyBorder="1" applyAlignment="1">
      <alignment horizontal="center" vertical="center"/>
    </xf>
    <xf numFmtId="2" fontId="8" fillId="0" borderId="6" xfId="0" applyNumberFormat="1" applyFont="1" applyBorder="1" applyAlignment="1">
      <alignment horizontal="center" vertical="center"/>
    </xf>
    <xf numFmtId="0" fontId="3" fillId="0" borderId="0" xfId="0" applyFont="1" applyAlignment="1">
      <alignment horizontal="left" vertical="center"/>
    </xf>
    <xf numFmtId="40" fontId="3" fillId="0" borderId="14" xfId="1" quotePrefix="1" applyNumberFormat="1" applyFont="1" applyBorder="1">
      <alignment vertical="center"/>
    </xf>
    <xf numFmtId="176" fontId="3" fillId="0" borderId="2" xfId="0" applyNumberFormat="1" applyFont="1" applyBorder="1">
      <alignment vertical="center"/>
    </xf>
    <xf numFmtId="2" fontId="3" fillId="0" borderId="1" xfId="0" applyNumberFormat="1" applyFont="1" applyBorder="1">
      <alignment vertical="center"/>
    </xf>
    <xf numFmtId="0" fontId="0" fillId="0" borderId="29" xfId="0" applyBorder="1">
      <alignment vertical="center"/>
    </xf>
    <xf numFmtId="0" fontId="0" fillId="0" borderId="8" xfId="0" applyBorder="1">
      <alignment vertical="center"/>
    </xf>
    <xf numFmtId="0" fontId="3" fillId="0" borderId="10" xfId="0" applyFont="1" applyBorder="1">
      <alignment vertical="center"/>
    </xf>
    <xf numFmtId="0" fontId="0" fillId="0" borderId="30" xfId="0" applyBorder="1">
      <alignment vertical="center"/>
    </xf>
    <xf numFmtId="0" fontId="0" fillId="0" borderId="11" xfId="0" applyBorder="1">
      <alignment vertical="center"/>
    </xf>
    <xf numFmtId="0" fontId="0" fillId="0" borderId="24" xfId="0" applyBorder="1">
      <alignment vertical="center"/>
    </xf>
    <xf numFmtId="0" fontId="0" fillId="0" borderId="26" xfId="0" applyBorder="1">
      <alignment vertical="center"/>
    </xf>
    <xf numFmtId="0" fontId="3" fillId="0" borderId="7" xfId="0" applyFont="1" applyBorder="1">
      <alignment vertical="center"/>
    </xf>
    <xf numFmtId="0" fontId="0" fillId="0" borderId="33" xfId="0" applyBorder="1">
      <alignment vertical="center"/>
    </xf>
    <xf numFmtId="0" fontId="0" fillId="0" borderId="31" xfId="0" applyBorder="1">
      <alignment vertical="center"/>
    </xf>
    <xf numFmtId="0" fontId="3" fillId="0" borderId="25" xfId="0" applyFont="1" applyBorder="1">
      <alignment vertical="center"/>
    </xf>
    <xf numFmtId="0" fontId="3" fillId="0" borderId="28" xfId="0" applyFont="1" applyBorder="1">
      <alignment vertical="center"/>
    </xf>
    <xf numFmtId="0" fontId="3" fillId="0" borderId="30" xfId="0" applyFont="1" applyBorder="1" applyAlignment="1">
      <alignment vertical="center" shrinkToFit="1"/>
    </xf>
    <xf numFmtId="0" fontId="3" fillId="0" borderId="11" xfId="0" applyFont="1" applyBorder="1" applyAlignment="1">
      <alignment vertical="center" shrinkToFit="1"/>
    </xf>
    <xf numFmtId="0" fontId="8" fillId="0" borderId="0" xfId="0" applyFont="1" applyAlignment="1">
      <alignment horizontal="center" vertical="center"/>
    </xf>
    <xf numFmtId="176" fontId="8" fillId="2" borderId="2" xfId="0" applyNumberFormat="1" applyFont="1" applyFill="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shrinkToFit="1"/>
    </xf>
    <xf numFmtId="0" fontId="7" fillId="0" borderId="9" xfId="0" applyFont="1" applyBorder="1" applyAlignment="1">
      <alignment horizontal="center"/>
    </xf>
    <xf numFmtId="0" fontId="3" fillId="0" borderId="18"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8" xfId="0" quotePrefix="1" applyFont="1" applyBorder="1">
      <alignment vertical="center"/>
    </xf>
    <xf numFmtId="0" fontId="3" fillId="0" borderId="10" xfId="0" quotePrefix="1" applyFont="1" applyBorder="1">
      <alignment vertical="center"/>
    </xf>
    <xf numFmtId="0" fontId="3" fillId="0" borderId="12" xfId="0" quotePrefix="1" applyFont="1" applyBorder="1">
      <alignment vertical="center"/>
    </xf>
    <xf numFmtId="0" fontId="3" fillId="0" borderId="21" xfId="0" applyFont="1" applyBorder="1" applyAlignment="1">
      <alignment horizontal="center" vertical="center"/>
    </xf>
    <xf numFmtId="0" fontId="3" fillId="0" borderId="28" xfId="0" quotePrefix="1" applyFont="1" applyBorder="1">
      <alignment vertical="center"/>
    </xf>
    <xf numFmtId="176" fontId="2" fillId="0" borderId="2" xfId="0" applyNumberFormat="1" applyFont="1" applyBorder="1" applyAlignment="1">
      <alignment horizontal="center" vertical="center"/>
    </xf>
    <xf numFmtId="0" fontId="3" fillId="0" borderId="33" xfId="0" applyFont="1" applyBorder="1" applyAlignment="1">
      <alignment horizontal="center" vertical="center"/>
    </xf>
    <xf numFmtId="0" fontId="3" fillId="0" borderId="34" xfId="0" quotePrefix="1" applyFont="1" applyBorder="1" applyAlignment="1">
      <alignment vertical="center" shrinkToFit="1"/>
    </xf>
    <xf numFmtId="0" fontId="3" fillId="0" borderId="30" xfId="0" quotePrefix="1" applyFont="1" applyBorder="1">
      <alignment vertical="center"/>
    </xf>
    <xf numFmtId="0" fontId="3" fillId="0" borderId="30" xfId="0" applyFont="1" applyBorder="1" applyAlignment="1">
      <alignment horizontal="center" vertical="center"/>
    </xf>
    <xf numFmtId="0" fontId="3" fillId="0" borderId="0" xfId="0" quotePrefix="1" applyFont="1">
      <alignment vertical="center"/>
    </xf>
    <xf numFmtId="0" fontId="3" fillId="0" borderId="22" xfId="0" applyFont="1" applyBorder="1" applyAlignment="1">
      <alignment horizontal="center" vertical="center"/>
    </xf>
    <xf numFmtId="0" fontId="3" fillId="0" borderId="33" xfId="0" quotePrefix="1" applyFont="1" applyBorder="1" applyAlignment="1">
      <alignment vertical="center" shrinkToFit="1"/>
    </xf>
    <xf numFmtId="0" fontId="8" fillId="2" borderId="2" xfId="0" applyFont="1" applyFill="1" applyBorder="1" applyAlignment="1">
      <alignment horizontal="center"/>
    </xf>
    <xf numFmtId="178" fontId="8" fillId="2" borderId="2"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3" xfId="0" applyFont="1" applyBorder="1" applyAlignment="1">
      <alignment horizontal="left" vertical="center"/>
    </xf>
    <xf numFmtId="0" fontId="2" fillId="0" borderId="21" xfId="0" applyFont="1" applyBorder="1" applyAlignment="1">
      <alignment horizontal="left" vertical="center"/>
    </xf>
    <xf numFmtId="178" fontId="3" fillId="0" borderId="15" xfId="0" applyNumberFormat="1" applyFont="1" applyBorder="1" applyAlignment="1">
      <alignment horizontal="center" vertical="center"/>
    </xf>
    <xf numFmtId="0" fontId="2" fillId="0" borderId="20" xfId="0" applyFont="1" applyBorder="1" applyAlignment="1">
      <alignment horizontal="centerContinuous" vertical="center"/>
    </xf>
    <xf numFmtId="0" fontId="2" fillId="0" borderId="17" xfId="0" applyFont="1" applyBorder="1" applyAlignment="1">
      <alignment horizontal="centerContinuous" vertical="center"/>
    </xf>
    <xf numFmtId="0" fontId="7" fillId="0" borderId="32" xfId="0" applyFont="1" applyBorder="1" applyAlignment="1">
      <alignment horizontal="center"/>
    </xf>
    <xf numFmtId="176" fontId="3" fillId="0" borderId="6" xfId="0" applyNumberFormat="1" applyFont="1" applyBorder="1">
      <alignment vertical="center"/>
    </xf>
    <xf numFmtId="0" fontId="3" fillId="0" borderId="4" xfId="0" applyFont="1" applyBorder="1" applyAlignment="1">
      <alignment horizontal="center" vertical="center"/>
    </xf>
    <xf numFmtId="176" fontId="3" fillId="0" borderId="30" xfId="0" applyNumberFormat="1" applyFont="1" applyBorder="1" applyAlignment="1">
      <alignment horizontal="center" vertical="center"/>
    </xf>
    <xf numFmtId="176" fontId="3" fillId="0" borderId="11" xfId="0" applyNumberFormat="1" applyFont="1" applyBorder="1" applyAlignment="1">
      <alignment horizontal="center" vertical="center"/>
    </xf>
    <xf numFmtId="177" fontId="7" fillId="0" borderId="1" xfId="1" applyNumberFormat="1" applyFont="1" applyFill="1" applyBorder="1" applyAlignment="1">
      <alignment horizontal="center" vertical="center" wrapText="1"/>
    </xf>
    <xf numFmtId="0" fontId="2" fillId="2" borderId="2" xfId="0" applyFont="1" applyFill="1" applyBorder="1" applyAlignment="1">
      <alignment horizontal="center" vertical="center"/>
    </xf>
    <xf numFmtId="2" fontId="8" fillId="0" borderId="2" xfId="0" applyNumberFormat="1" applyFont="1" applyBorder="1" applyAlignment="1">
      <alignment horizontal="center" vertical="center"/>
    </xf>
    <xf numFmtId="2" fontId="8" fillId="2" borderId="2" xfId="0" applyNumberFormat="1" applyFont="1" applyFill="1" applyBorder="1" applyAlignment="1">
      <alignment horizontal="center" vertical="center"/>
    </xf>
    <xf numFmtId="0" fontId="8" fillId="0" borderId="3" xfId="0" applyFont="1" applyBorder="1" applyAlignment="1">
      <alignment horizontal="center"/>
    </xf>
    <xf numFmtId="0" fontId="8" fillId="0" borderId="0" xfId="0" applyFont="1" applyAlignment="1">
      <alignment horizontal="center"/>
    </xf>
    <xf numFmtId="177" fontId="7" fillId="0" borderId="23" xfId="1" applyNumberFormat="1" applyFont="1" applyFill="1" applyBorder="1" applyAlignment="1">
      <alignment horizontal="center" vertical="center" wrapText="1"/>
    </xf>
    <xf numFmtId="0" fontId="8" fillId="0" borderId="3" xfId="0" applyFont="1" applyBorder="1" applyAlignment="1">
      <alignment horizontal="center" vertical="center"/>
    </xf>
    <xf numFmtId="178" fontId="8" fillId="0" borderId="35" xfId="0" applyNumberFormat="1" applyFont="1" applyBorder="1" applyAlignment="1">
      <alignment horizontal="center" vertical="center"/>
    </xf>
    <xf numFmtId="0" fontId="7" fillId="0" borderId="2" xfId="0" applyFont="1" applyBorder="1" applyAlignment="1">
      <alignment horizontal="center"/>
    </xf>
    <xf numFmtId="1" fontId="8" fillId="2" borderId="2" xfId="0" applyNumberFormat="1" applyFont="1" applyFill="1" applyBorder="1" applyAlignment="1">
      <alignment horizontal="center" vertical="center"/>
    </xf>
    <xf numFmtId="177" fontId="8" fillId="0" borderId="11" xfId="0" applyNumberFormat="1" applyFont="1" applyBorder="1" applyAlignment="1">
      <alignment horizontal="center" vertical="center"/>
    </xf>
    <xf numFmtId="0" fontId="2" fillId="0" borderId="1" xfId="0" applyFont="1" applyBorder="1" applyAlignment="1">
      <alignment horizontal="center" vertical="center"/>
    </xf>
    <xf numFmtId="0" fontId="3" fillId="0" borderId="14" xfId="0" applyFont="1" applyBorder="1">
      <alignment vertical="center"/>
    </xf>
    <xf numFmtId="0" fontId="15" fillId="0" borderId="10" xfId="0" applyFont="1" applyBorder="1">
      <alignment vertical="center"/>
    </xf>
    <xf numFmtId="0" fontId="3" fillId="0" borderId="31" xfId="0" applyFont="1" applyBorder="1" applyAlignment="1">
      <alignment horizontal="center" vertical="center"/>
    </xf>
    <xf numFmtId="178" fontId="8" fillId="0" borderId="2" xfId="0" applyNumberFormat="1" applyFont="1" applyBorder="1" applyAlignment="1">
      <alignment horizontal="center" vertical="center"/>
    </xf>
    <xf numFmtId="0" fontId="8" fillId="0" borderId="2" xfId="0" applyFont="1" applyBorder="1" applyAlignment="1">
      <alignment horizontal="center"/>
    </xf>
    <xf numFmtId="0" fontId="8" fillId="0" borderId="6" xfId="0" applyFont="1" applyBorder="1" applyAlignment="1">
      <alignment horizontal="center"/>
    </xf>
    <xf numFmtId="0" fontId="0" fillId="0" borderId="0" xfId="0"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3" fillId="0" borderId="35" xfId="0" quotePrefix="1" applyFont="1" applyBorder="1" applyAlignment="1">
      <alignment horizontal="center" vertical="center" shrinkToFit="1"/>
    </xf>
    <xf numFmtId="0" fontId="3" fillId="0" borderId="11" xfId="0" quotePrefix="1" applyFont="1" applyBorder="1" applyAlignment="1">
      <alignment horizontal="center" vertical="center"/>
    </xf>
    <xf numFmtId="0" fontId="3" fillId="0" borderId="27" xfId="0" quotePrefix="1" applyFont="1" applyBorder="1" applyAlignment="1">
      <alignment horizontal="center" vertical="center"/>
    </xf>
    <xf numFmtId="0" fontId="3" fillId="0" borderId="31" xfId="0" quotePrefix="1" applyFont="1" applyBorder="1" applyAlignment="1">
      <alignment horizontal="center" vertical="center" shrinkToFit="1"/>
    </xf>
    <xf numFmtId="0" fontId="7" fillId="0" borderId="10" xfId="0" applyFont="1" applyBorder="1" applyAlignment="1"/>
    <xf numFmtId="0" fontId="3" fillId="0" borderId="30" xfId="0" applyFont="1" applyBorder="1" applyAlignment="1">
      <alignment horizontal="left" vertical="center"/>
    </xf>
    <xf numFmtId="0" fontId="4" fillId="0" borderId="0" xfId="0" applyFont="1" applyAlignment="1">
      <alignment horizontal="right" vertical="center"/>
    </xf>
    <xf numFmtId="176" fontId="7" fillId="0" borderId="0" xfId="0" applyNumberFormat="1" applyFont="1" applyAlignment="1">
      <alignment horizontal="center"/>
    </xf>
    <xf numFmtId="176" fontId="7" fillId="2" borderId="2" xfId="0" applyNumberFormat="1" applyFont="1" applyFill="1" applyBorder="1" applyAlignment="1">
      <alignment horizontal="center"/>
    </xf>
    <xf numFmtId="0" fontId="2" fillId="0" borderId="2" xfId="0" applyFont="1" applyBorder="1" applyAlignment="1">
      <alignment vertical="center" shrinkToFit="1"/>
    </xf>
    <xf numFmtId="0" fontId="2" fillId="2" borderId="2" xfId="0" applyFont="1" applyFill="1" applyBorder="1">
      <alignment vertical="center"/>
    </xf>
    <xf numFmtId="178" fontId="3" fillId="0" borderId="0" xfId="0" applyNumberFormat="1" applyFont="1">
      <alignment vertical="center"/>
    </xf>
    <xf numFmtId="177" fontId="7" fillId="0" borderId="0" xfId="1" applyNumberFormat="1" applyFont="1" applyFill="1" applyBorder="1" applyAlignment="1">
      <alignment horizontal="center" vertical="center" wrapText="1"/>
    </xf>
    <xf numFmtId="2" fontId="3" fillId="0" borderId="0" xfId="0" applyNumberFormat="1" applyFont="1">
      <alignment vertical="center"/>
    </xf>
    <xf numFmtId="2" fontId="0" fillId="0" borderId="0" xfId="0" applyNumberFormat="1" applyAlignment="1">
      <alignment horizontal="center" vertical="center"/>
    </xf>
    <xf numFmtId="176" fontId="2" fillId="0" borderId="0" xfId="0" applyNumberFormat="1" applyFont="1" applyAlignment="1">
      <alignment horizontal="center" vertical="center"/>
    </xf>
    <xf numFmtId="2" fontId="8" fillId="0" borderId="0" xfId="0" applyNumberFormat="1" applyFont="1" applyAlignment="1">
      <alignment horizontal="center" vertical="center"/>
    </xf>
    <xf numFmtId="176" fontId="8" fillId="0" borderId="4" xfId="0" applyNumberFormat="1" applyFont="1" applyBorder="1" applyAlignment="1">
      <alignment horizontal="center" vertical="center"/>
    </xf>
    <xf numFmtId="177" fontId="8" fillId="0" borderId="0" xfId="0" applyNumberFormat="1" applyFont="1" applyAlignment="1">
      <alignment horizontal="center" vertical="center"/>
    </xf>
    <xf numFmtId="56" fontId="0" fillId="0" borderId="0" xfId="0" quotePrefix="1" applyNumberFormat="1">
      <alignment vertical="center"/>
    </xf>
    <xf numFmtId="0" fontId="0" fillId="0" borderId="30" xfId="0" applyBorder="1" applyAlignment="1">
      <alignment horizontal="center" vertical="center"/>
    </xf>
    <xf numFmtId="0" fontId="0" fillId="0" borderId="10" xfId="0" applyBorder="1">
      <alignment vertical="center"/>
    </xf>
    <xf numFmtId="0" fontId="3" fillId="0" borderId="10" xfId="0" quotePrefix="1" applyFont="1" applyBorder="1" applyAlignment="1">
      <alignment horizontal="left" vertical="center"/>
    </xf>
    <xf numFmtId="0" fontId="0" fillId="0" borderId="10" xfId="0" applyBorder="1" applyAlignment="1">
      <alignment horizontal="left" vertical="center"/>
    </xf>
    <xf numFmtId="0" fontId="3" fillId="0" borderId="12" xfId="0" quotePrefix="1" applyFont="1" applyBorder="1" applyAlignment="1">
      <alignment horizontal="left" vertical="center"/>
    </xf>
    <xf numFmtId="0" fontId="3" fillId="0" borderId="2" xfId="0" applyFont="1" applyBorder="1" applyAlignment="1">
      <alignment horizontal="right" vertical="center"/>
    </xf>
    <xf numFmtId="0" fontId="3" fillId="0" borderId="21" xfId="0" applyFont="1" applyBorder="1" applyAlignment="1">
      <alignment horizontal="left" vertical="center"/>
    </xf>
    <xf numFmtId="176" fontId="3" fillId="0" borderId="2" xfId="0" applyNumberFormat="1" applyFont="1" applyBorder="1" applyAlignment="1">
      <alignment horizontal="right" vertical="center"/>
    </xf>
    <xf numFmtId="0" fontId="3" fillId="0" borderId="6" xfId="0" applyFont="1" applyBorder="1" applyAlignment="1">
      <alignment horizontal="right" vertical="center"/>
    </xf>
    <xf numFmtId="0" fontId="3" fillId="0" borderId="33" xfId="0" applyFont="1" applyBorder="1">
      <alignment vertical="center"/>
    </xf>
    <xf numFmtId="0" fontId="3" fillId="0" borderId="31" xfId="0" applyFont="1" applyBorder="1">
      <alignment vertical="center"/>
    </xf>
    <xf numFmtId="176" fontId="3" fillId="0" borderId="2" xfId="0" quotePrefix="1" applyNumberFormat="1" applyFont="1" applyBorder="1">
      <alignment vertical="center"/>
    </xf>
    <xf numFmtId="0" fontId="3" fillId="2" borderId="14" xfId="0" applyFont="1" applyFill="1" applyBorder="1" applyAlignment="1">
      <alignment horizontal="center" vertical="center" shrinkToFit="1"/>
    </xf>
    <xf numFmtId="0" fontId="3" fillId="0" borderId="9" xfId="0" applyFont="1" applyBorder="1" applyAlignment="1">
      <alignment horizontal="center" vertical="center"/>
    </xf>
    <xf numFmtId="1" fontId="8" fillId="0" borderId="9" xfId="0" applyNumberFormat="1" applyFont="1" applyBorder="1" applyAlignment="1">
      <alignment horizontal="center" vertical="center"/>
    </xf>
    <xf numFmtId="1" fontId="8" fillId="0" borderId="0" xfId="0" applyNumberFormat="1" applyFont="1" applyAlignment="1">
      <alignment horizontal="left" vertical="center"/>
    </xf>
    <xf numFmtId="176" fontId="8" fillId="0" borderId="0" xfId="0" applyNumberFormat="1" applyFont="1" applyAlignment="1">
      <alignment horizontal="left" vertical="center"/>
    </xf>
    <xf numFmtId="177" fontId="7" fillId="2" borderId="1" xfId="1" applyNumberFormat="1" applyFont="1" applyFill="1" applyBorder="1" applyAlignment="1">
      <alignment horizontal="center" vertical="center" wrapText="1"/>
    </xf>
    <xf numFmtId="0" fontId="15" fillId="0" borderId="18" xfId="0" quotePrefix="1" applyFont="1" applyBorder="1">
      <alignment vertical="center"/>
    </xf>
    <xf numFmtId="178" fontId="0" fillId="0" borderId="0" xfId="0" applyNumberFormat="1">
      <alignment vertical="center"/>
    </xf>
    <xf numFmtId="178" fontId="3" fillId="0" borderId="4" xfId="0" quotePrefix="1" applyNumberFormat="1" applyFont="1" applyBorder="1" applyAlignment="1">
      <alignment horizontal="center" vertical="center"/>
    </xf>
    <xf numFmtId="0" fontId="8" fillId="0" borderId="2" xfId="0" applyFont="1" applyBorder="1">
      <alignment vertical="center"/>
    </xf>
    <xf numFmtId="0" fontId="2" fillId="0" borderId="2" xfId="0" applyFont="1" applyBorder="1">
      <alignment vertical="center"/>
    </xf>
    <xf numFmtId="0" fontId="8" fillId="0" borderId="10" xfId="0" applyFont="1" applyBorder="1" applyAlignment="1">
      <alignment vertical="center" shrinkToFit="1"/>
    </xf>
    <xf numFmtId="178" fontId="3" fillId="0" borderId="10" xfId="0" applyNumberFormat="1" applyFont="1" applyBorder="1" applyAlignment="1">
      <alignment horizontal="left" vertical="center"/>
    </xf>
    <xf numFmtId="2" fontId="0" fillId="0" borderId="0" xfId="0" applyNumberFormat="1">
      <alignment vertical="center"/>
    </xf>
    <xf numFmtId="177" fontId="7" fillId="0" borderId="12" xfId="1" applyNumberFormat="1" applyFont="1" applyFill="1" applyBorder="1" applyAlignment="1">
      <alignment horizontal="center" vertical="center" wrapText="1"/>
    </xf>
    <xf numFmtId="177" fontId="7" fillId="0" borderId="4" xfId="1" applyNumberFormat="1" applyFont="1" applyFill="1" applyBorder="1" applyAlignment="1">
      <alignment horizontal="center" vertical="center" wrapText="1"/>
    </xf>
    <xf numFmtId="177" fontId="7" fillId="2" borderId="14" xfId="1" applyNumberFormat="1" applyFont="1" applyFill="1" applyBorder="1" applyAlignment="1">
      <alignment horizontal="center" vertical="center" wrapText="1"/>
    </xf>
    <xf numFmtId="0" fontId="8" fillId="0" borderId="9" xfId="0" applyFont="1" applyBorder="1">
      <alignment vertical="center"/>
    </xf>
    <xf numFmtId="0" fontId="8" fillId="0" borderId="9" xfId="0" applyFont="1" applyBorder="1" applyAlignment="1">
      <alignment horizontal="center" vertical="center"/>
    </xf>
    <xf numFmtId="176" fontId="8" fillId="0" borderId="8" xfId="0" applyNumberFormat="1" applyFont="1" applyBorder="1" applyAlignment="1">
      <alignment horizontal="center" vertical="center"/>
    </xf>
    <xf numFmtId="0" fontId="8" fillId="0" borderId="21" xfId="0" applyFont="1" applyBorder="1">
      <alignment vertical="center"/>
    </xf>
    <xf numFmtId="0" fontId="8" fillId="0" borderId="6" xfId="0" applyFont="1" applyBorder="1" applyAlignment="1">
      <alignment horizontal="center" vertical="center"/>
    </xf>
    <xf numFmtId="176" fontId="8" fillId="2" borderId="6" xfId="0" applyNumberFormat="1" applyFont="1" applyFill="1" applyBorder="1" applyAlignment="1">
      <alignment horizontal="center" vertical="center"/>
    </xf>
    <xf numFmtId="0" fontId="8" fillId="0" borderId="7" xfId="0" applyFont="1" applyBorder="1" applyAlignment="1">
      <alignment vertical="center" shrinkToFit="1"/>
    </xf>
    <xf numFmtId="176" fontId="8" fillId="2" borderId="9" xfId="0" applyNumberFormat="1" applyFont="1" applyFill="1" applyBorder="1" applyAlignment="1">
      <alignment horizontal="center" vertical="center"/>
    </xf>
    <xf numFmtId="1" fontId="8" fillId="2" borderId="6" xfId="0" applyNumberFormat="1" applyFont="1" applyFill="1" applyBorder="1" applyAlignment="1">
      <alignment horizontal="center" vertical="center"/>
    </xf>
    <xf numFmtId="176" fontId="7" fillId="0" borderId="0" xfId="0" applyNumberFormat="1" applyFont="1" applyAlignment="1" applyProtection="1">
      <protection locked="0"/>
    </xf>
    <xf numFmtId="0" fontId="7" fillId="0" borderId="0" xfId="0" applyFont="1" applyAlignment="1" applyProtection="1">
      <protection locked="0"/>
    </xf>
    <xf numFmtId="0" fontId="16" fillId="0" borderId="0" xfId="0" applyFont="1" applyAlignment="1">
      <alignment horizontal="right" vertical="center" shrinkToFit="1"/>
    </xf>
    <xf numFmtId="0" fontId="8" fillId="0" borderId="13" xfId="0" applyFont="1" applyBorder="1">
      <alignment vertical="center"/>
    </xf>
    <xf numFmtId="1" fontId="8" fillId="2" borderId="14" xfId="0" applyNumberFormat="1" applyFont="1" applyFill="1" applyBorder="1" applyAlignment="1" applyProtection="1">
      <alignment horizontal="center" vertical="center"/>
      <protection locked="0"/>
    </xf>
    <xf numFmtId="0" fontId="8" fillId="2" borderId="14" xfId="0" applyFont="1" applyFill="1" applyBorder="1" applyAlignment="1" applyProtection="1">
      <alignment horizontal="center" shrinkToFit="1"/>
      <protection locked="0"/>
    </xf>
    <xf numFmtId="0" fontId="8" fillId="2" borderId="2" xfId="0" applyFont="1" applyFill="1" applyBorder="1" applyAlignment="1" applyProtection="1">
      <alignment horizontal="center"/>
      <protection locked="0"/>
    </xf>
    <xf numFmtId="178" fontId="8" fillId="2" borderId="2" xfId="0" applyNumberFormat="1" applyFont="1" applyFill="1" applyBorder="1" applyAlignment="1" applyProtection="1">
      <alignment horizontal="center" vertical="center"/>
      <protection locked="0"/>
    </xf>
    <xf numFmtId="0" fontId="3" fillId="0" borderId="12" xfId="0" applyFont="1" applyBorder="1" applyAlignment="1">
      <alignment horizontal="left" vertical="center"/>
    </xf>
    <xf numFmtId="0" fontId="7" fillId="2" borderId="5" xfId="0" applyFont="1" applyFill="1" applyBorder="1" applyAlignment="1" applyProtection="1">
      <alignment horizontal="center" vertical="center" shrinkToFit="1"/>
      <protection locked="0"/>
    </xf>
    <xf numFmtId="0" fontId="3" fillId="0" borderId="0" xfId="0" applyFont="1" applyAlignment="1">
      <alignment horizontal="center" vertical="center" shrinkToFit="1"/>
    </xf>
    <xf numFmtId="0" fontId="8" fillId="2" borderId="2"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protection locked="0"/>
    </xf>
    <xf numFmtId="0" fontId="2" fillId="0" borderId="6" xfId="0" applyFont="1" applyBorder="1">
      <alignment vertical="center"/>
    </xf>
    <xf numFmtId="0" fontId="7" fillId="0" borderId="6" xfId="0" applyFont="1" applyBorder="1" applyAlignment="1">
      <alignment horizontal="center"/>
    </xf>
    <xf numFmtId="0" fontId="2" fillId="2" borderId="6" xfId="0" applyFont="1" applyFill="1" applyBorder="1" applyAlignment="1" applyProtection="1">
      <alignment horizontal="center" vertical="center"/>
      <protection locked="0"/>
    </xf>
    <xf numFmtId="0" fontId="2" fillId="0" borderId="0" xfId="0" applyFont="1" applyAlignment="1">
      <alignment horizontal="center" vertical="center" shrinkToFit="1"/>
    </xf>
    <xf numFmtId="176" fontId="8" fillId="2" borderId="9" xfId="0" applyNumberFormat="1" applyFont="1" applyFill="1" applyBorder="1" applyAlignment="1" applyProtection="1">
      <alignment horizontal="center" vertical="center"/>
      <protection locked="0"/>
    </xf>
    <xf numFmtId="176" fontId="8" fillId="2" borderId="2" xfId="0" applyNumberFormat="1" applyFont="1" applyFill="1" applyBorder="1" applyAlignment="1" applyProtection="1">
      <alignment horizontal="center" vertical="center"/>
      <protection locked="0"/>
    </xf>
    <xf numFmtId="176" fontId="8" fillId="2" borderId="6" xfId="0" applyNumberFormat="1" applyFont="1" applyFill="1" applyBorder="1" applyAlignment="1" applyProtection="1">
      <alignment horizontal="center" vertical="center"/>
      <protection locked="0"/>
    </xf>
    <xf numFmtId="0" fontId="8" fillId="0" borderId="2" xfId="0" applyFont="1" applyBorder="1" applyAlignment="1">
      <alignment horizontal="center" shrinkToFit="1"/>
    </xf>
    <xf numFmtId="176" fontId="8" fillId="0" borderId="9" xfId="0" applyNumberFormat="1" applyFont="1" applyBorder="1" applyAlignment="1">
      <alignment horizontal="center" vertical="center"/>
    </xf>
    <xf numFmtId="0" fontId="2" fillId="0" borderId="13" xfId="0" applyFont="1" applyBorder="1" applyAlignment="1">
      <alignment horizontal="left" vertical="center" shrinkToFit="1"/>
    </xf>
    <xf numFmtId="176" fontId="8" fillId="0" borderId="2" xfId="0" applyNumberFormat="1" applyFont="1" applyBorder="1" applyAlignment="1">
      <alignment horizontal="center" vertical="center"/>
    </xf>
    <xf numFmtId="0" fontId="2" fillId="0" borderId="21" xfId="0" applyFont="1" applyBorder="1" applyAlignment="1">
      <alignment horizontal="left" vertical="center" shrinkToFit="1"/>
    </xf>
    <xf numFmtId="0" fontId="2" fillId="0" borderId="1" xfId="0" applyFont="1" applyBorder="1" applyAlignment="1">
      <alignment horizontal="center" vertical="center" shrinkToFit="1"/>
    </xf>
    <xf numFmtId="177" fontId="7" fillId="2" borderId="14" xfId="1" applyNumberFormat="1" applyFont="1" applyFill="1" applyBorder="1" applyAlignment="1" applyProtection="1">
      <alignment horizontal="center" vertical="center" wrapText="1"/>
      <protection locked="0"/>
    </xf>
    <xf numFmtId="177" fontId="7" fillId="0" borderId="0" xfId="1" applyNumberFormat="1" applyFont="1" applyFill="1" applyBorder="1" applyAlignment="1">
      <alignment horizontal="left" vertical="center" wrapText="1"/>
    </xf>
    <xf numFmtId="177" fontId="7" fillId="0" borderId="4" xfId="1" applyNumberFormat="1" applyFont="1" applyFill="1" applyBorder="1" applyAlignment="1" applyProtection="1">
      <alignment horizontal="center" vertical="center" wrapText="1"/>
      <protection hidden="1"/>
    </xf>
    <xf numFmtId="177" fontId="7" fillId="0" borderId="0" xfId="1" applyNumberFormat="1" applyFont="1" applyFill="1" applyBorder="1" applyAlignment="1">
      <alignment horizontal="center" vertical="center" shrinkToFit="1"/>
    </xf>
    <xf numFmtId="0" fontId="3" fillId="0" borderId="33" xfId="0" applyFont="1" applyBorder="1" applyAlignment="1">
      <alignment horizontal="right" vertical="center"/>
    </xf>
    <xf numFmtId="0" fontId="3" fillId="0" borderId="3" xfId="0" applyFont="1" applyBorder="1" applyAlignment="1" applyProtection="1">
      <alignment vertical="center" shrinkToFit="1"/>
      <protection hidden="1"/>
    </xf>
    <xf numFmtId="0" fontId="3" fillId="0" borderId="7" xfId="0" applyFont="1" applyBorder="1" applyProtection="1">
      <alignment vertical="center"/>
      <protection hidden="1"/>
    </xf>
    <xf numFmtId="0" fontId="0" fillId="0" borderId="29" xfId="0" applyBorder="1" applyProtection="1">
      <alignment vertical="center"/>
      <protection hidden="1"/>
    </xf>
    <xf numFmtId="0" fontId="0" fillId="0" borderId="8" xfId="0" applyBorder="1" applyProtection="1">
      <alignment vertical="center"/>
      <protection hidden="1"/>
    </xf>
    <xf numFmtId="0" fontId="3" fillId="0" borderId="18" xfId="0" quotePrefix="1" applyFont="1" applyBorder="1" applyProtection="1">
      <alignment vertical="center"/>
      <protection hidden="1"/>
    </xf>
    <xf numFmtId="0" fontId="3" fillId="0" borderId="34" xfId="0" quotePrefix="1" applyFont="1" applyBorder="1" applyAlignment="1" applyProtection="1">
      <alignment vertical="center" shrinkToFit="1"/>
      <protection hidden="1"/>
    </xf>
    <xf numFmtId="0" fontId="3" fillId="0" borderId="35" xfId="0" quotePrefix="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protection hidden="1"/>
    </xf>
    <xf numFmtId="40" fontId="3" fillId="0" borderId="14" xfId="1" quotePrefix="1" applyNumberFormat="1" applyFont="1" applyBorder="1" applyProtection="1">
      <alignment vertical="center"/>
      <protection hidden="1"/>
    </xf>
    <xf numFmtId="0" fontId="3" fillId="0" borderId="2" xfId="0" applyFont="1" applyBorder="1" applyProtection="1">
      <alignment vertical="center"/>
      <protection hidden="1"/>
    </xf>
    <xf numFmtId="0" fontId="3" fillId="0" borderId="10" xfId="0" applyFont="1" applyBorder="1" applyProtection="1">
      <alignment vertical="center"/>
      <protection hidden="1"/>
    </xf>
    <xf numFmtId="0" fontId="0" fillId="0" borderId="30" xfId="0" applyBorder="1" applyProtection="1">
      <alignment vertical="center"/>
      <protection hidden="1"/>
    </xf>
    <xf numFmtId="0" fontId="0" fillId="0" borderId="11" xfId="0" applyBorder="1" applyProtection="1">
      <alignment vertical="center"/>
      <protection hidden="1"/>
    </xf>
    <xf numFmtId="0" fontId="3" fillId="0" borderId="10" xfId="0" quotePrefix="1" applyFont="1" applyBorder="1" applyProtection="1">
      <alignment vertical="center"/>
      <protection hidden="1"/>
    </xf>
    <xf numFmtId="0" fontId="3" fillId="0" borderId="30" xfId="0" quotePrefix="1" applyFont="1" applyBorder="1" applyProtection="1">
      <alignment vertical="center"/>
      <protection hidden="1"/>
    </xf>
    <xf numFmtId="0" fontId="3" fillId="0" borderId="11" xfId="0" quotePrefix="1"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176" fontId="3" fillId="0" borderId="2" xfId="0" applyNumberFormat="1" applyFont="1" applyBorder="1" applyProtection="1">
      <alignment vertical="center"/>
      <protection hidden="1"/>
    </xf>
    <xf numFmtId="0" fontId="3" fillId="0" borderId="30" xfId="0" applyFont="1" applyBorder="1" applyAlignment="1" applyProtection="1">
      <alignment vertical="center" shrinkToFit="1"/>
      <protection hidden="1"/>
    </xf>
    <xf numFmtId="0" fontId="3" fillId="0" borderId="11" xfId="0" applyFont="1" applyBorder="1" applyAlignment="1" applyProtection="1">
      <alignment vertical="center" shrinkToFit="1"/>
      <protection hidden="1"/>
    </xf>
    <xf numFmtId="0" fontId="3" fillId="0" borderId="10" xfId="0" applyFont="1" applyBorder="1" applyAlignment="1" applyProtection="1">
      <alignment horizontal="left" vertical="center"/>
      <protection hidden="1"/>
    </xf>
    <xf numFmtId="0" fontId="3" fillId="0" borderId="30"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2" xfId="0" applyFont="1" applyBorder="1" applyAlignment="1" applyProtection="1">
      <alignment horizontal="right" vertical="center"/>
      <protection hidden="1"/>
    </xf>
    <xf numFmtId="0" fontId="15" fillId="0" borderId="10" xfId="0" applyFont="1" applyBorder="1" applyProtection="1">
      <alignment vertical="center"/>
      <protection hidden="1"/>
    </xf>
    <xf numFmtId="0" fontId="3" fillId="0" borderId="10" xfId="0" quotePrefix="1" applyFont="1" applyBorder="1" applyAlignment="1" applyProtection="1">
      <alignment horizontal="left" vertical="center"/>
      <protection hidden="1"/>
    </xf>
    <xf numFmtId="176" fontId="3" fillId="0" borderId="2" xfId="0" quotePrefix="1" applyNumberFormat="1" applyFont="1" applyBorder="1" applyProtection="1">
      <alignment vertical="center"/>
      <protection hidden="1"/>
    </xf>
    <xf numFmtId="2" fontId="3" fillId="0" borderId="2" xfId="0" applyNumberFormat="1" applyFont="1" applyBorder="1" applyAlignment="1" applyProtection="1">
      <alignment horizontal="right" vertical="center"/>
      <protection hidden="1"/>
    </xf>
    <xf numFmtId="0" fontId="3" fillId="0" borderId="5" xfId="0" applyFont="1" applyBorder="1" applyProtection="1">
      <alignment vertical="center"/>
      <protection hidden="1"/>
    </xf>
    <xf numFmtId="0" fontId="3" fillId="0" borderId="12" xfId="0" quotePrefix="1" applyFont="1" applyBorder="1" applyProtection="1">
      <alignment vertical="center"/>
      <protection hidden="1"/>
    </xf>
    <xf numFmtId="0" fontId="3" fillId="0" borderId="0" xfId="0" quotePrefix="1" applyFont="1" applyProtection="1">
      <alignment vertical="center"/>
      <protection hidden="1"/>
    </xf>
    <xf numFmtId="0" fontId="3" fillId="0" borderId="27" xfId="0" quotePrefix="1" applyFont="1" applyBorder="1" applyAlignment="1" applyProtection="1">
      <alignment horizontal="center" vertical="center"/>
      <protection hidden="1"/>
    </xf>
    <xf numFmtId="0" fontId="3" fillId="0" borderId="4" xfId="0" applyFont="1" applyBorder="1" applyProtection="1">
      <alignment vertical="center"/>
      <protection hidden="1"/>
    </xf>
    <xf numFmtId="0" fontId="3" fillId="0" borderId="12" xfId="0" applyFont="1" applyBorder="1" applyProtection="1">
      <alignment vertical="center"/>
      <protection hidden="1"/>
    </xf>
    <xf numFmtId="0" fontId="0" fillId="0" borderId="0" xfId="0" applyProtection="1">
      <alignment vertical="center"/>
      <protection hidden="1"/>
    </xf>
    <xf numFmtId="0" fontId="0" fillId="0" borderId="27" xfId="0" applyBorder="1" applyProtection="1">
      <alignment vertical="center"/>
      <protection hidden="1"/>
    </xf>
    <xf numFmtId="0" fontId="3" fillId="0" borderId="16" xfId="0" applyFont="1" applyBorder="1" applyAlignment="1" applyProtection="1">
      <alignment horizontal="left" vertical="center"/>
      <protection hidden="1"/>
    </xf>
    <xf numFmtId="0" fontId="3" fillId="0" borderId="17"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4" xfId="0" applyFont="1" applyBorder="1" applyAlignment="1" applyProtection="1">
      <alignment horizontal="right" vertical="center"/>
      <protection hidden="1"/>
    </xf>
    <xf numFmtId="0" fontId="3" fillId="0" borderId="1" xfId="0" applyFont="1" applyBorder="1" applyProtection="1">
      <alignment vertical="center"/>
      <protection hidden="1"/>
    </xf>
    <xf numFmtId="0" fontId="3" fillId="0" borderId="28" xfId="0" applyFont="1" applyBorder="1" applyProtection="1">
      <alignment vertical="center"/>
      <protection hidden="1"/>
    </xf>
    <xf numFmtId="0" fontId="0" fillId="0" borderId="33" xfId="0" applyBorder="1" applyProtection="1">
      <alignment vertical="center"/>
      <protection hidden="1"/>
    </xf>
    <xf numFmtId="0" fontId="0" fillId="0" borderId="31" xfId="0" applyBorder="1" applyProtection="1">
      <alignment vertical="center"/>
      <protection hidden="1"/>
    </xf>
    <xf numFmtId="0" fontId="3" fillId="0" borderId="28" xfId="0" quotePrefix="1" applyFont="1" applyBorder="1" applyProtection="1">
      <alignment vertical="center"/>
      <protection hidden="1"/>
    </xf>
    <xf numFmtId="0" fontId="3" fillId="0" borderId="33" xfId="0" quotePrefix="1" applyFont="1" applyBorder="1" applyAlignment="1" applyProtection="1">
      <alignment vertical="center" shrinkToFit="1"/>
      <protection hidden="1"/>
    </xf>
    <xf numFmtId="0" fontId="3" fillId="0" borderId="31" xfId="0" quotePrefix="1" applyFont="1" applyBorder="1" applyAlignment="1" applyProtection="1">
      <alignment horizontal="center" vertical="center" shrinkToFit="1"/>
      <protection hidden="1"/>
    </xf>
    <xf numFmtId="0" fontId="3" fillId="0" borderId="1" xfId="0" applyFont="1" applyBorder="1" applyAlignment="1" applyProtection="1">
      <alignment horizontal="center" vertical="center"/>
      <protection hidden="1"/>
    </xf>
    <xf numFmtId="2" fontId="3" fillId="0" borderId="1" xfId="0" applyNumberFormat="1" applyFont="1" applyBorder="1" applyProtection="1">
      <alignment vertical="center"/>
      <protection hidden="1"/>
    </xf>
    <xf numFmtId="0" fontId="4" fillId="2" borderId="0" xfId="0" applyFont="1" applyFill="1" applyAlignment="1" applyProtection="1">
      <alignment horizontal="left" vertical="center" shrinkToFit="1"/>
      <protection locked="0"/>
    </xf>
    <xf numFmtId="0" fontId="2" fillId="2" borderId="28"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4" fillId="2" borderId="0" xfId="0" applyFont="1" applyFill="1" applyAlignment="1">
      <alignment horizontal="left" vertical="center"/>
    </xf>
    <xf numFmtId="0" fontId="2" fillId="2" borderId="2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1" xfId="0" applyFont="1" applyFill="1" applyBorder="1" applyAlignment="1">
      <alignment horizontal="center" vertical="center"/>
    </xf>
  </cellXfs>
  <cellStyles count="3">
    <cellStyle name="桁区切り" xfId="1" builtinId="6"/>
    <cellStyle name="標準" xfId="0" builtinId="0"/>
    <cellStyle name="標準 4" xfId="2" xr:uid="{13D7FE8A-4BA2-42BB-95A9-A9C806ADA796}"/>
  </cellStyles>
  <dxfs count="226">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color rgb="FFFF0000"/>
      </font>
    </dxf>
    <dxf>
      <font>
        <b/>
        <i val="0"/>
        <color rgb="FF0000FF"/>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FF0000"/>
      </font>
    </dxf>
    <dxf>
      <font>
        <b/>
        <i val="0"/>
        <color rgb="FF0000FF"/>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FF0000"/>
      </font>
    </dxf>
    <dxf>
      <font>
        <b/>
        <i val="0"/>
        <color rgb="FF0000FF"/>
      </font>
    </dxf>
    <dxf>
      <font>
        <b/>
        <i val="0"/>
        <color rgb="FFFF0000"/>
      </font>
    </dxf>
    <dxf>
      <font>
        <b/>
        <i val="0"/>
        <color rgb="FF0000FF"/>
      </font>
    </dxf>
    <dxf>
      <font>
        <b/>
        <i val="0"/>
        <color rgb="FF0000FF"/>
      </font>
    </dxf>
    <dxf>
      <font>
        <b/>
        <i val="0"/>
        <color rgb="FFFF0000"/>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0000FF"/>
      </font>
    </dxf>
    <dxf>
      <font>
        <b/>
        <i val="0"/>
        <color rgb="FFFF0000"/>
      </font>
    </dxf>
    <dxf>
      <font>
        <b/>
        <i val="0"/>
        <color rgb="FFFF0000"/>
      </font>
    </dxf>
    <dxf>
      <font>
        <b/>
        <i val="0"/>
        <color rgb="FF0000FF"/>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CCFFFF"/>
      <color rgb="FFFFCC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285750</xdr:colOff>
      <xdr:row>17</xdr:row>
      <xdr:rowOff>95251</xdr:rowOff>
    </xdr:from>
    <xdr:to>
      <xdr:col>21</xdr:col>
      <xdr:colOff>308187</xdr:colOff>
      <xdr:row>38</xdr:row>
      <xdr:rowOff>14606</xdr:rowOff>
    </xdr:to>
    <xdr:pic>
      <xdr:nvPicPr>
        <xdr:cNvPr id="2" name="図 1">
          <a:extLst>
            <a:ext uri="{FF2B5EF4-FFF2-40B4-BE49-F238E27FC236}">
              <a16:creationId xmlns:a16="http://schemas.microsoft.com/office/drawing/2014/main" id="{83539A97-B633-48C2-A5EA-F63A01CC99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9000" y="2635251"/>
          <a:ext cx="6160770" cy="3030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8C02-F84A-4DCB-8941-5E77E868966C}">
  <sheetPr>
    <tabColor rgb="FFCCFFFF"/>
  </sheetPr>
  <dimension ref="B2:M2040"/>
  <sheetViews>
    <sheetView view="pageBreakPreview" zoomScale="60" zoomScaleNormal="70" workbookViewId="0">
      <selection activeCell="E23" sqref="E23"/>
    </sheetView>
  </sheetViews>
  <sheetFormatPr defaultRowHeight="13.5"/>
  <cols>
    <col min="1" max="1" width="1.875" customWidth="1"/>
    <col min="2" max="2" width="21.25" customWidth="1"/>
    <col min="3" max="3" width="5.375" customWidth="1"/>
    <col min="4" max="4" width="14.875" customWidth="1"/>
    <col min="5" max="5" width="21.625" customWidth="1"/>
    <col min="6" max="6" width="9.875" customWidth="1"/>
    <col min="7" max="7" width="29.875" customWidth="1"/>
    <col min="8" max="8" width="7.625" style="101" customWidth="1"/>
    <col min="9" max="9" width="6.125" style="20" customWidth="1"/>
    <col min="10" max="11" width="8.75" style="20"/>
  </cols>
  <sheetData>
    <row r="2" spans="2:13" ht="12" customHeight="1">
      <c r="B2" s="247" t="s">
        <v>136</v>
      </c>
      <c r="C2" s="247"/>
      <c r="D2" s="247"/>
      <c r="F2" s="163"/>
      <c r="G2" s="164"/>
      <c r="H2" s="164"/>
    </row>
    <row r="3" spans="2:13" ht="12" customHeight="1">
      <c r="B3" s="15" t="s">
        <v>111</v>
      </c>
      <c r="C3" s="15"/>
      <c r="D3" s="1"/>
      <c r="E3" s="1"/>
      <c r="H3" s="119"/>
      <c r="J3" s="118"/>
    </row>
    <row r="4" spans="2:13" ht="12" customHeight="1">
      <c r="B4" s="165" t="s">
        <v>137</v>
      </c>
      <c r="C4" s="3"/>
      <c r="D4" s="1"/>
      <c r="E4" s="1"/>
      <c r="F4" s="8"/>
      <c r="G4" s="8"/>
      <c r="H4" s="102"/>
      <c r="I4" s="28"/>
      <c r="J4" s="118"/>
    </row>
    <row r="5" spans="2:13" ht="12" customHeight="1">
      <c r="B5" s="15" t="s">
        <v>40</v>
      </c>
      <c r="C5" s="3"/>
      <c r="D5" s="1"/>
      <c r="E5" s="1"/>
      <c r="F5" s="15" t="s">
        <v>54</v>
      </c>
      <c r="G5" s="15"/>
      <c r="H5" s="102"/>
      <c r="I5" s="28"/>
    </row>
    <row r="6" spans="2:13" ht="12" customHeight="1">
      <c r="B6" s="2" t="s">
        <v>53</v>
      </c>
      <c r="C6" s="2" t="s">
        <v>21</v>
      </c>
      <c r="D6" s="2" t="s">
        <v>22</v>
      </c>
      <c r="E6" s="17"/>
      <c r="F6" s="49" t="s">
        <v>41</v>
      </c>
      <c r="G6" s="97" t="s">
        <v>59</v>
      </c>
      <c r="H6" s="49" t="s">
        <v>44</v>
      </c>
      <c r="I6" s="2" t="s">
        <v>21</v>
      </c>
      <c r="J6" s="49" t="s">
        <v>138</v>
      </c>
      <c r="K6" s="2" t="s">
        <v>28</v>
      </c>
    </row>
    <row r="7" spans="2:13" ht="12" customHeight="1">
      <c r="B7" s="166" t="s">
        <v>25</v>
      </c>
      <c r="C7" s="18" t="s">
        <v>24</v>
      </c>
      <c r="D7" s="167">
        <v>10</v>
      </c>
      <c r="E7" s="19"/>
      <c r="F7" s="168" t="s">
        <v>43</v>
      </c>
      <c r="G7" s="169" t="s">
        <v>113</v>
      </c>
      <c r="H7" s="88" t="str" cm="1">
        <f t="array" ref="H7">_xlfn.IFS(AND(F7&lt;&gt;"非削孔",F7&lt;&gt;"無設定"),D22,F7="非削孔",IF(MID(D11,1,3)="土留め","非削孔","箱抜き"),F7="無設定","無設定")</f>
        <v>箱抜き</v>
      </c>
      <c r="I7" s="23" t="str">
        <f>IF(F7="無設定","","m")</f>
        <v>m</v>
      </c>
      <c r="J7" s="170">
        <v>0.5</v>
      </c>
      <c r="K7" s="30">
        <f>D7*J7</f>
        <v>5</v>
      </c>
    </row>
    <row r="8" spans="2:13" ht="12" customHeight="1">
      <c r="B8" s="171" t="s">
        <v>37</v>
      </c>
      <c r="C8" s="50" t="s">
        <v>38</v>
      </c>
      <c r="D8" s="172" t="s">
        <v>139</v>
      </c>
      <c r="E8" s="173"/>
      <c r="F8" s="174" t="s">
        <v>49</v>
      </c>
      <c r="G8" s="169" t="s">
        <v>114</v>
      </c>
      <c r="H8" s="88" cm="1">
        <f t="array" ref="H8">_xlfn.IFS(AND(F8&lt;&gt;"非削孔",F8&lt;&gt;"無設定"),D22,F8="非削孔","箱抜き",F8="無設定","無設定")</f>
        <v>115</v>
      </c>
      <c r="I8" s="23" t="str">
        <f t="shared" ref="I8:I16" si="0">IF(F8="無設定","","m")</f>
        <v>m</v>
      </c>
      <c r="J8" s="170">
        <v>2.64</v>
      </c>
      <c r="K8" s="30">
        <f>D7*J8</f>
        <v>26.400000000000002</v>
      </c>
    </row>
    <row r="9" spans="2:13" ht="12" customHeight="1">
      <c r="B9" s="52" t="s">
        <v>39</v>
      </c>
      <c r="C9" s="91" t="s">
        <v>38</v>
      </c>
      <c r="D9" s="175" t="s">
        <v>60</v>
      </c>
      <c r="E9" s="140"/>
      <c r="F9" s="174" t="s">
        <v>49</v>
      </c>
      <c r="G9" s="169" t="s">
        <v>115</v>
      </c>
      <c r="H9" s="88" cm="1">
        <f t="array" ref="H9">_xlfn.IFS(AND(F9&lt;&gt;"非削孔",F9&lt;&gt;"無設定"),D22,F9="非削孔","箱抜き",F9="無設定","無設定")</f>
        <v>115</v>
      </c>
      <c r="I9" s="23" t="str">
        <f t="shared" si="0"/>
        <v>m</v>
      </c>
      <c r="J9" s="170">
        <v>5.36</v>
      </c>
      <c r="K9" s="30">
        <f>D7*J9</f>
        <v>53.6</v>
      </c>
    </row>
    <row r="10" spans="2:13" ht="12" customHeight="1">
      <c r="B10" s="147" t="s">
        <v>140</v>
      </c>
      <c r="C10" s="91" t="s">
        <v>38</v>
      </c>
      <c r="D10" s="176" t="s">
        <v>141</v>
      </c>
      <c r="E10" s="141"/>
      <c r="F10" s="174" t="s">
        <v>48</v>
      </c>
      <c r="G10" s="169"/>
      <c r="H10" s="88" t="str" cm="1">
        <f t="array" ref="H10">_xlfn.IFS(AND(F10&lt;&gt;"非削孔",F10&lt;&gt;"無設定"),D22,F10="非削孔","箱抜き",F10="無設定","無設定")</f>
        <v>無設定</v>
      </c>
      <c r="I10" s="23" t="str">
        <f t="shared" si="0"/>
        <v/>
      </c>
      <c r="J10" s="170">
        <v>0</v>
      </c>
      <c r="K10" s="30">
        <f>D7*J10</f>
        <v>0</v>
      </c>
      <c r="M10" s="112"/>
    </row>
    <row r="11" spans="2:13" ht="12" customHeight="1">
      <c r="B11" s="147" t="s">
        <v>142</v>
      </c>
      <c r="C11" s="91" t="s">
        <v>38</v>
      </c>
      <c r="D11" s="177" t="s">
        <v>143</v>
      </c>
      <c r="E11" s="21"/>
      <c r="F11" s="174" t="s">
        <v>48</v>
      </c>
      <c r="G11" s="169"/>
      <c r="H11" s="88" t="str" cm="1">
        <f t="array" ref="H11">_xlfn.IFS(AND(F11&lt;&gt;"非削孔",F11&lt;&gt;"無設定"),D22,F11="非削孔","箱抜き",F11="無設定","無設定")</f>
        <v>無設定</v>
      </c>
      <c r="I11" s="23" t="str">
        <f t="shared" si="0"/>
        <v/>
      </c>
      <c r="J11" s="170">
        <v>0</v>
      </c>
      <c r="K11" s="30">
        <f>D7*J11</f>
        <v>0</v>
      </c>
    </row>
    <row r="12" spans="2:13" ht="12" customHeight="1">
      <c r="B12" s="114" t="str">
        <f>IF(MID(D11,1,3)="土留め",D11&amp;"の種類","")</f>
        <v/>
      </c>
      <c r="C12" s="91" t="s">
        <v>38</v>
      </c>
      <c r="D12" s="178" t="s">
        <v>71</v>
      </c>
      <c r="E12" s="21"/>
      <c r="F12" s="174" t="s">
        <v>48</v>
      </c>
      <c r="G12" s="169"/>
      <c r="H12" s="88" t="str" cm="1">
        <f t="array" ref="H12">_xlfn.IFS(AND(F12&lt;&gt;"非削孔",F12&lt;&gt;"無設定"),D22,F12="非削孔","箱抜き",F12="無設定","無設定")</f>
        <v>無設定</v>
      </c>
      <c r="I12" s="23" t="str">
        <f t="shared" si="0"/>
        <v/>
      </c>
      <c r="J12" s="170">
        <v>0</v>
      </c>
      <c r="K12" s="30">
        <f>D7*J12</f>
        <v>0</v>
      </c>
    </row>
    <row r="13" spans="2:13" ht="12" customHeight="1">
      <c r="B13" s="179" t="s">
        <v>50</v>
      </c>
      <c r="C13" s="180" t="s">
        <v>38</v>
      </c>
      <c r="D13" s="181" t="s">
        <v>51</v>
      </c>
      <c r="E13" s="182"/>
      <c r="F13" s="174" t="s">
        <v>48</v>
      </c>
      <c r="G13" s="169"/>
      <c r="H13" s="88" t="str" cm="1">
        <f t="array" ref="H13">_xlfn.IFS(AND(F13&lt;&gt;"非削孔",F13&lt;&gt;"無設定"),D22,F13="非削孔","箱抜き",F13="無設定","無設定")</f>
        <v>無設定</v>
      </c>
      <c r="I13" s="23" t="str">
        <f t="shared" si="0"/>
        <v/>
      </c>
      <c r="J13" s="170">
        <v>0</v>
      </c>
      <c r="K13" s="30">
        <f>D7*J13</f>
        <v>0</v>
      </c>
    </row>
    <row r="14" spans="2:13" ht="12" customHeight="1">
      <c r="B14" s="160" t="str" cm="1">
        <f t="array" ref="B14">"頭部自由長"&amp;_xlfn.IFS(MID(D11,1,2)="なし","",MID(D11,1,3)="受圧体","(受圧体)",MID(D11,1,3)="のり面","(角度台座＋受圧体)",MID(D11,1,3)="構造物","(壁面台座)",MID(D11,1,3)="土留め","(台座+腹起し)")&amp;"　Lfh"</f>
        <v>頭部自由長(受圧体)　Lfh</v>
      </c>
      <c r="C14" s="155" t="s">
        <v>23</v>
      </c>
      <c r="D14" s="183">
        <v>0.5</v>
      </c>
      <c r="E14" s="21"/>
      <c r="F14" s="174" t="s">
        <v>144</v>
      </c>
      <c r="G14" s="169"/>
      <c r="H14" s="88" cm="1">
        <f t="array" ref="H14">_xlfn.IFS(AND(F14&lt;&gt;"非削孔",F14&lt;&gt;"無設定"),D22,F14="非削孔","箱抜き",F14="無設定","無設定")</f>
        <v>115</v>
      </c>
      <c r="I14" s="23" t="str">
        <f t="shared" si="0"/>
        <v>m</v>
      </c>
      <c r="J14" s="170">
        <v>0</v>
      </c>
      <c r="K14" s="30">
        <f>D7*J14</f>
        <v>0</v>
      </c>
    </row>
    <row r="15" spans="2:13" ht="12" customHeight="1">
      <c r="B15" s="22" t="s">
        <v>108</v>
      </c>
      <c r="C15" s="23" t="s">
        <v>23</v>
      </c>
      <c r="D15" s="184">
        <v>4</v>
      </c>
      <c r="E15" s="21"/>
      <c r="F15" s="174" t="s">
        <v>48</v>
      </c>
      <c r="G15" s="169"/>
      <c r="H15" s="88" t="str" cm="1">
        <f t="array" ref="H15">_xlfn.IFS(AND(F15&lt;&gt;"非削孔",F15&lt;&gt;"無設定"),D22,F15="非削孔","箱抜き",F15="無設定","無設定")</f>
        <v>無設定</v>
      </c>
      <c r="I15" s="23" t="str">
        <f t="shared" si="0"/>
        <v/>
      </c>
      <c r="J15" s="170">
        <v>0</v>
      </c>
      <c r="K15" s="30">
        <f>D7*J15</f>
        <v>0</v>
      </c>
    </row>
    <row r="16" spans="2:13" ht="12" customHeight="1">
      <c r="B16" s="157" t="s">
        <v>36</v>
      </c>
      <c r="C16" s="158" t="s">
        <v>23</v>
      </c>
      <c r="D16" s="185">
        <v>4</v>
      </c>
      <c r="F16" s="186" t="str" cm="1">
        <f t="array" ref="F16">INDEX(F7:H15,MATCH("無設定",F7:F15,0)-1,MATCH(F6,F6:H6,0))</f>
        <v>軟　岩</v>
      </c>
      <c r="G16" s="100" t="str" cm="1">
        <f t="array" ref="G16">INDEX(F7:H15,MATCH("無設定",F7:F15,0)-1,MATCH(G6,F6:H6,0))&amp;"　(先端長 L2d)"</f>
        <v>風化岩 CL　(先端長 L2d)</v>
      </c>
      <c r="H16" s="88" cm="1">
        <f t="array" ref="H16">INDEX(F7:H15,MATCH("無設定",F7:F15,0)-1,MATCH(H6,F6:H6,0))</f>
        <v>115</v>
      </c>
      <c r="I16" s="23" t="str">
        <f t="shared" si="0"/>
        <v>m</v>
      </c>
      <c r="J16" s="98">
        <f>D21</f>
        <v>0.25</v>
      </c>
      <c r="K16" s="78">
        <f>IFERROR(D7*J16,"")</f>
        <v>2.5</v>
      </c>
    </row>
    <row r="17" spans="2:13" ht="12" customHeight="1">
      <c r="B17" s="154" t="s">
        <v>145</v>
      </c>
      <c r="C17" s="155" t="s">
        <v>23</v>
      </c>
      <c r="D17" s="187">
        <f>IF(OR(D7=0,D8="　"),"──",SUM(D14:D15))</f>
        <v>4.5</v>
      </c>
      <c r="E17" s="19"/>
      <c r="F17" s="188"/>
      <c r="G17" s="75" t="s">
        <v>124</v>
      </c>
      <c r="H17" s="103"/>
      <c r="I17" s="18" t="s">
        <v>23</v>
      </c>
      <c r="J17" s="74">
        <f>SUMIFS(J7:J16,F7:F16,"&lt;&gt;非削孔",F7:F16,"&lt;&gt;無設定")</f>
        <v>8.25</v>
      </c>
      <c r="K17" s="95">
        <f>SUMIFS(K7:K16,F7:F16,"&lt;&gt;非削孔",F7:F16,"&lt;&gt;無設定")</f>
        <v>82.5</v>
      </c>
    </row>
    <row r="18" spans="2:13" ht="12" customHeight="1">
      <c r="B18" s="146" t="s">
        <v>146</v>
      </c>
      <c r="C18" s="23" t="s">
        <v>23</v>
      </c>
      <c r="D18" s="189" cm="1">
        <f t="array" ref="D18">IF(OR(D7=0,D8="　"),"──",IF(MID(D8,4,1)="5",_xlfn.IFS(1*MID(LEFT(D8, LEN(D8)-1),6,2)&lt;8,1,1*MID(LEFT(D8, LEN(D8)-1),6,2)&lt;13,1.2),_xlfn.IFS(1*MID(LEFT(D8, LEN(D8)-1),6,2)&lt;6,1,1*MID(LEFT(D8, LEN(D8)-1),6,2)&lt;15,1.2)))</f>
        <v>1.2</v>
      </c>
      <c r="E18" s="21"/>
      <c r="F18" s="190"/>
      <c r="G18" s="76" t="s">
        <v>47</v>
      </c>
      <c r="H18" s="104"/>
      <c r="I18" s="79" t="s">
        <v>46</v>
      </c>
      <c r="J18" s="77" t="str">
        <f>IF(OR(D7=0,D8="　"),"",IF(SUM(D15:D16,D21)=J17,"OK","NG"))</f>
        <v>OK</v>
      </c>
      <c r="K18" s="145" t="str">
        <f>IF(J18&lt;&gt;"NG","──",J17-SUM(D15:D16,D21))</f>
        <v>──</v>
      </c>
      <c r="M18" s="144"/>
    </row>
    <row r="19" spans="2:13" ht="12" customHeight="1">
      <c r="B19" s="22" t="s">
        <v>125</v>
      </c>
      <c r="C19" s="23" t="s">
        <v>35</v>
      </c>
      <c r="D19" s="84">
        <f>IF(OR(D7=0,D8="　"),"──",0.2)</f>
        <v>0.2</v>
      </c>
      <c r="F19" s="191" t="s">
        <v>58</v>
      </c>
      <c r="G19" s="248" t="s">
        <v>110</v>
      </c>
      <c r="H19" s="249"/>
      <c r="I19" s="249"/>
      <c r="J19" s="249"/>
      <c r="K19" s="250"/>
    </row>
    <row r="20" spans="2:13" ht="12" customHeight="1">
      <c r="B20" s="6" t="s">
        <v>147</v>
      </c>
      <c r="C20" s="23" t="s">
        <v>23</v>
      </c>
      <c r="D20" s="60">
        <f>IF(OR(D7=0,D8="　"),"──",SUM(D16:D19))</f>
        <v>9.8999999999999986</v>
      </c>
    </row>
    <row r="21" spans="2:13" ht="12" customHeight="1">
      <c r="B21" s="25" t="s">
        <v>127</v>
      </c>
      <c r="C21" s="26" t="s">
        <v>23</v>
      </c>
      <c r="D21" s="27">
        <f>IF(OR(D7=0,D8="　"),"──",0.25)</f>
        <v>0.25</v>
      </c>
      <c r="F21" s="8"/>
      <c r="G21" s="8"/>
      <c r="H21" s="102"/>
    </row>
    <row r="22" spans="2:13" ht="12" customHeight="1">
      <c r="B22" s="95" t="s">
        <v>123</v>
      </c>
      <c r="C22" s="18" t="s">
        <v>32</v>
      </c>
      <c r="D22" s="192">
        <v>115</v>
      </c>
      <c r="E22" s="193" t="str">
        <f>IF(D22&lt;D23,"NG：削孔径不適合","")</f>
        <v/>
      </c>
      <c r="F22" s="8"/>
      <c r="G22" s="8"/>
      <c r="H22" s="102"/>
    </row>
    <row r="23" spans="2:13" ht="12" customHeight="1">
      <c r="B23" s="25" t="s">
        <v>122</v>
      </c>
      <c r="C23" s="26" t="s">
        <v>32</v>
      </c>
      <c r="D23" s="194" cm="1">
        <f t="array" ref="D23">IF(OR(D7=0,D8="　"),"──",IF(D13="なし",IF(MID(D8,4,1)="5",_xlfn.IFS(1*MID(LEFT(D8, LEN(D8)-1),6,2)&lt;6,90,1*MID(LEFT(D8, LEN(D8)-1),6,2)&lt;9,115,1*MID(LEFT(D8, LEN(D8)-1),6,2)&gt;8,135),_xlfn.IFS(1*MID(LEFT(D8, LEN(D8)-1),6,2)&lt;4,90,1*MID(LEFT(D8, LEN(D8)-1),6,2)&lt;7,115,1*MID(LEFT(D8, LEN(D8)-1),6,2)&lt;10,135,1*MID(LEFT(D8, LEN(D8)-1),6,2)&lt;13,146,1*MID(LEFT(D8, LEN(D8)-1),6,2)&gt;12,165)),IF(MID(D8,4,1)="5",_xlfn.IFS(1*MID(LEFT(D8, LEN(D8)-1),6,2)&lt;3,90,1*MID(LEFT(D8, LEN(D8)-1),6,2)&lt;7,115,1*MID(LEFT(D8, LEN(D8)-1),6,2)&lt;9,135,1*MID(LEFT(D8, LEN(D8)-1),6,2)&gt;8,146),_xlfn.IFS(1*MID(LEFT(D8, LEN(D8)-1),6,2)&lt;3,90,1*MID(LEFT(D8, LEN(D8)-1),6,2)&lt;4,115,1*MID(LEFT(D8, LEN(D8)-1),6,2)&lt;6,135,1*MID(LEFT(D8, LEN(D8)-1),6,2)&lt;10,146,1*MID(LEFT(D8, LEN(D8)-1),6,2)&lt;13,165,1*MID(LEFT(D8, LEN(D8)-1),6,2)&gt;12,216))))</f>
        <v>115</v>
      </c>
      <c r="E23" s="195"/>
      <c r="F23" s="8"/>
      <c r="G23" s="8"/>
      <c r="H23" s="102"/>
    </row>
    <row r="24" spans="2:13" ht="12" customHeight="1">
      <c r="B24" s="20"/>
      <c r="C24" s="46"/>
      <c r="D24" s="117"/>
      <c r="F24" s="8"/>
      <c r="G24" s="8"/>
      <c r="H24" s="102"/>
    </row>
    <row r="25" spans="2:13" ht="12" customHeight="1">
      <c r="B25" s="15" t="str">
        <f>"■"&amp;MID(B2,2,14)</f>
        <v>■本設：EHDアンカーHP工法</v>
      </c>
      <c r="C25" s="3"/>
      <c r="D25" s="1"/>
      <c r="E25" s="1"/>
      <c r="F25" s="8"/>
      <c r="G25" s="8"/>
      <c r="H25" s="102"/>
    </row>
    <row r="26" spans="2:13" ht="12" customHeight="1">
      <c r="B26" s="2" t="s">
        <v>17</v>
      </c>
      <c r="C26" s="43"/>
      <c r="D26" s="196" t="s">
        <v>148</v>
      </c>
      <c r="E26" s="135"/>
      <c r="F26" s="16"/>
      <c r="G26" s="61" t="s">
        <v>42</v>
      </c>
      <c r="H26" s="97"/>
      <c r="I26" s="2" t="s">
        <v>21</v>
      </c>
      <c r="J26" s="49" t="s">
        <v>149</v>
      </c>
      <c r="K26" s="2" t="s">
        <v>28</v>
      </c>
    </row>
    <row r="27" spans="2:13" ht="12" customHeight="1">
      <c r="B27" s="197" t="s">
        <v>150</v>
      </c>
      <c r="C27" s="198" t="str">
        <f>IF(OR(D7=0,D8="　"),"",D8&amp;" ("&amp;MID(LEFT(D8, LEN(D8)-1),6,2)&amp;IF(MID(D8,4,1)="5","φ12.7","φ15.2")&amp;")")</f>
        <v>EHD5-8H (8φ12.7)</v>
      </c>
      <c r="D27" s="199"/>
      <c r="E27" s="200"/>
      <c r="F27" s="201" t="str">
        <f>"W=テンドン長×PC鋼より線本数×"&amp;IF(MID(D8,4,1)="5","0.774","1.101")&amp;"kg/m"</f>
        <v>W=テンドン長×PC鋼より線本数×0.774kg/m</v>
      </c>
      <c r="G27" s="202"/>
      <c r="H27" s="203"/>
      <c r="I27" s="204" t="s">
        <v>11</v>
      </c>
      <c r="J27" s="205">
        <f>IF(OR(D7=0,D8="　"),"",MROUND(D20*MID(LEFT(D8, LEN(D8)-1),6,2)*IF(MID(D8,4,1)="5","0.774","1.101"),0.01))</f>
        <v>61.300000000000004</v>
      </c>
      <c r="K27" s="205">
        <f>IFERROR(D7*J27,"")</f>
        <v>613</v>
      </c>
      <c r="L27" s="13"/>
    </row>
    <row r="28" spans="2:13" ht="12" customHeight="1">
      <c r="B28" s="206" t="s">
        <v>151</v>
      </c>
      <c r="C28" s="207"/>
      <c r="D28" s="208"/>
      <c r="E28" s="209"/>
      <c r="F28" s="210" t="s">
        <v>33</v>
      </c>
      <c r="G28" s="211"/>
      <c r="H28" s="212"/>
      <c r="I28" s="213" t="s">
        <v>12</v>
      </c>
      <c r="J28" s="214">
        <f>IF(OR(D7=0,D8="　"),"",MROUND(D20,0.1))</f>
        <v>9.9</v>
      </c>
      <c r="K28" s="214">
        <f>IFERROR(D7*J28,"")</f>
        <v>99</v>
      </c>
    </row>
    <row r="29" spans="2:13" ht="12" customHeight="1">
      <c r="B29" s="206" t="str">
        <f>"頭部キャップ"</f>
        <v>頭部キャップ</v>
      </c>
      <c r="C29" s="207" t="str" cm="1">
        <f t="array" ref="C29">IF(OR(D7=0,D8="　"),"",IF(MID(D8,4,1)="5",_xlfn.SWITCH(1*MID(LEFT(D8, LEN(D8)-1),6,2),1,"S",2,"S",3,"S",4,"S",5,"M",6,"M",7,"M",8,"L",9,"L",10,"L",11,"L",12,"L"),_xlfn.SWITCH(1*MID(LEFT(D8, LEN(D8)-1),6,2),1,"S",2,"S",3,"M",4,"M",5,"L",6,"L",7,"L",8,"LL",9,"LL",10,"LL",11,"LL",12,"LL",13,"LL",14,"LL"))&amp;"型"&amp;D10&amp;IF(OR(MID(D10,1,2)="透明",MID(D10,1,2)="5窓"),"、PC樹脂","")&amp;"、ｱﾙﾐAC4C相当"&amp;_xlfn.IFS(MID(D9,1,3)="防食Ⅱ","",MID(D9,5,2)="塩害","、防食：ﾀｹｺｰﾄ処理",MID(D9,5,2)="酸性","、防食：重防食処理"))</f>
        <v>L型透明キャップ、PC樹脂、ｱﾙﾐAC4C相当</v>
      </c>
      <c r="D29" s="215"/>
      <c r="E29" s="216"/>
      <c r="F29" s="217" t="str">
        <f t="shared" ref="F29:F35" si="1">"n=1"</f>
        <v>n=1</v>
      </c>
      <c r="G29" s="218"/>
      <c r="H29" s="219"/>
      <c r="I29" s="213" t="s">
        <v>13</v>
      </c>
      <c r="J29" s="220" t="str">
        <f>IF(OR(D7=0,D8="　"),"",MID(F29,3,2))</f>
        <v>1</v>
      </c>
      <c r="K29" s="214">
        <f>IFERROR(D7*J29,"")</f>
        <v>10</v>
      </c>
    </row>
    <row r="30" spans="2:13" ht="12" customHeight="1">
      <c r="B30" s="206" t="s">
        <v>5</v>
      </c>
      <c r="C30" s="207" t="str" cm="1">
        <f t="array" ref="C30">IF(OR(D7=0,D8="　"),"",IF(MID(D8,4,1)="5","G5"&amp;_xlfn.SWITCH(1*MID(LEFT(D8, LEN(D8)-1),6,2),1,"01",2,"02",3,"03",4,"04",5,"07",6,"07",7,"07",8,"09",9,"09",10,"12",11,"12",12,"12"),"G6"&amp;_xlfn.SWITCH(1*MID(LEFT(D8, LEN(D8)-1),6,2),1,"01",2,"02",3,"03",4,"04",5,"07",6,"07",7,"07",8,"09",9,"09",10,"12",11,"12",12,"12",13,"14",14,"14"))&amp;"、S45C相当"&amp;IF(MID(D10,1,3)&lt;&gt;"アルミ","、防食：無電解Niめっき",""))</f>
        <v>G509、S45C相当、防食：無電解Niめっき</v>
      </c>
      <c r="D30" s="208"/>
      <c r="E30" s="209"/>
      <c r="F30" s="217" t="str">
        <f t="shared" si="1"/>
        <v>n=1</v>
      </c>
      <c r="G30" s="218"/>
      <c r="H30" s="219"/>
      <c r="I30" s="213" t="s">
        <v>13</v>
      </c>
      <c r="J30" s="220" t="str">
        <f>IF(OR(D7=0,D8="　"),"",MID(F30,3,2))</f>
        <v>1</v>
      </c>
      <c r="K30" s="214">
        <f>IFERROR(D7*J30,"")</f>
        <v>10</v>
      </c>
    </row>
    <row r="31" spans="2:13" ht="12" customHeight="1">
      <c r="B31" s="206" t="s">
        <v>152</v>
      </c>
      <c r="C31" s="207" t="str" cm="1">
        <f t="array" ref="C31">IF(OR(D7=0,D8="　"),"",IF(MID(D8,4,1)="5","G5"&amp;_xlfn.SWITCH(1*MID(LEFT(D8, LEN(D8)-1),6,2),1,"01",2,"02",3,"03",4,"04",5,"07",6,"07",7,"07",8,"09",9,"09",10,"12",11,"12",12,"12"),"G6"&amp;_xlfn.SWITCH(1*MID(LEFT(D8, LEN(D8)-1),6,2),1,"01",2,"02",3,"03",4,"04",5,"07",6,"07",7,"07",8,"09",9,"09",10,"12",11,"12",12,"12",13,"14",14,"14"))&amp;"、S45C相当"&amp;IF(MID(D10,1,3)&lt;&gt;"アルミ","、防食：無電解Niめっき",""))</f>
        <v>G509、S45C相当、防食：無電解Niめっき</v>
      </c>
      <c r="D31" s="208"/>
      <c r="E31" s="209"/>
      <c r="F31" s="217" t="str">
        <f t="shared" si="1"/>
        <v>n=1</v>
      </c>
      <c r="G31" s="218"/>
      <c r="H31" s="219"/>
      <c r="I31" s="213" t="s">
        <v>13</v>
      </c>
      <c r="J31" s="220" t="str">
        <f>IF(OR(D7=0,D8="　"),"",MID(F31,3,2))</f>
        <v>1</v>
      </c>
      <c r="K31" s="214">
        <f>IFERROR(D7*J31,"")</f>
        <v>10</v>
      </c>
    </row>
    <row r="32" spans="2:13" ht="12" customHeight="1">
      <c r="B32" s="206" t="s">
        <v>7</v>
      </c>
      <c r="C32" s="207" t="str">
        <f>IF(OR(D7=0,D8="　"),"",IF(1*MID(D8,4,1)=5,"ECF12.7","ECF15.2")&amp;"、SCM415相当"&amp;IF(MID(D10,1,3)&lt;&gt;"アルミ","、防食：無電解Niめっき",""))</f>
        <v>ECF12.7、SCM415相当、防食：無電解Niめっき</v>
      </c>
      <c r="D32" s="208"/>
      <c r="E32" s="209"/>
      <c r="F32" s="217" t="str">
        <f t="shared" si="1"/>
        <v>n=1</v>
      </c>
      <c r="G32" s="218"/>
      <c r="H32" s="219"/>
      <c r="I32" s="213" t="s">
        <v>27</v>
      </c>
      <c r="J32" s="220" t="str">
        <f>IF(OR(D7=0,D8="　"),"",MID(F32,3,2))</f>
        <v>1</v>
      </c>
      <c r="K32" s="214">
        <f>IFERROR(D7*J32,"")</f>
        <v>10</v>
      </c>
    </row>
    <row r="33" spans="2:11" ht="12" customHeight="1">
      <c r="B33" s="206" t="s">
        <v>153</v>
      </c>
      <c r="C33" s="207" t="str" cm="1">
        <f t="array" ref="C33">IF(OR(D7=0,D8="　"),"",IF(MID(D8,4,1)="5","G5"&amp;_xlfn.SWITCH(1*MID(LEFT(D8, LEN(D8)-1),6,2),1,"01",2,"04",3,"03",4,"04",5,"07",6,"07",7,"07",8,"12",9,"12",10,"12",11,"12",12,"12"),"G6"&amp;_xlfn.SWITCH(1*MID(LEFT(D8, LEN(D8)-1),6,2),1,"01",2,"02",3,"03",4,"04",5,"07",6,"07",7,"07",8,"12",9,"12",10,"12",11,"12",12,"12",13,"14",14,"14"))&amp;"、SS400相当、防食："&amp;_xlfn.IFS(MID(D9,1,3)="防食Ⅱ","HDZT77めっき",MID(D9,5,2)="塩害","ｱﾙﾐﾅｲｽﾞ処理",MID(D9,5,2)="酸性","重防食処理"))</f>
        <v>G512、SS400相当、防食：HDZT77めっき</v>
      </c>
      <c r="D33" s="208"/>
      <c r="E33" s="209"/>
      <c r="F33" s="217" t="str">
        <f t="shared" si="1"/>
        <v>n=1</v>
      </c>
      <c r="G33" s="218"/>
      <c r="H33" s="219"/>
      <c r="I33" s="213" t="s">
        <v>16</v>
      </c>
      <c r="J33" s="220" t="str">
        <f>IF(OR(D7=0,D8="　"),"",MID(F33,3,2))</f>
        <v>1</v>
      </c>
      <c r="K33" s="214">
        <f>IFERROR(D7*J33,"")</f>
        <v>10</v>
      </c>
    </row>
    <row r="34" spans="2:11" ht="12" customHeight="1">
      <c r="B34" s="206" t="str">
        <f>IF(MID(D11,1,3)="のり面","管付","")&amp;"支圧板"</f>
        <v>支圧板</v>
      </c>
      <c r="C34" s="221" t="str" cm="1">
        <f t="array" ref="C34">IF(OR(D7=0,D8="　"),"","PL"&amp;IF(MID(D11,1,3)="のり面","P","")&amp;IF(MID(D8,4,1)="5","5-"&amp;_xlfn.SWITCH(1*MID(LEFT(D8, LEN(D8)-1),6,2),1,"1",2,"2",3,"3",4,"4",5,"5",6,"6",7,"7",8,"9",9,"9",10,"10",11,"11",12,"12"),"6-"&amp;_xlfn.SWITCH(1*MID(LEFT(D8, LEN(D8)-1),6,2),1,"1",2,"2",3,"3",4,"4",5,"6",6,"6",7,"7",8,"8",9,"9",10,"10",11,"11",12,"12",13,"14",14,"14"))&amp;"、SS400相当、防食："&amp;_xlfn.IFS(MID(D9,1,3)="防食Ⅱ","HDZT77めっき",MID(D9,5,2)="塩害","ｱﾙﾐﾅｲｽﾞ処理",MID(D9,5,2)="酸性","重防食処理"))</f>
        <v>PL5-9、SS400相当、防食：HDZT77めっき</v>
      </c>
      <c r="D34" s="208"/>
      <c r="E34" s="209"/>
      <c r="F34" s="217" t="str">
        <f t="shared" si="1"/>
        <v>n=1</v>
      </c>
      <c r="G34" s="218"/>
      <c r="H34" s="219"/>
      <c r="I34" s="213" t="s">
        <v>16</v>
      </c>
      <c r="J34" s="220" t="str">
        <f>IF(OR(D7=0,D8="　"),"",MID(F34,3,2))</f>
        <v>1</v>
      </c>
      <c r="K34" s="214">
        <f>IFERROR(D7*J34,"")</f>
        <v>10</v>
      </c>
    </row>
    <row r="35" spans="2:11" ht="12" customHeight="1">
      <c r="B35" s="206" t="s">
        <v>154</v>
      </c>
      <c r="C35" s="207" t="str">
        <f>IF(OR(D7=0,D8="　"),"","G"&amp;MID(LEFT(D8, LEN(D8)-1),4,4)&amp;"、NBR45相当")</f>
        <v>G5-8、NBR45相当</v>
      </c>
      <c r="D35" s="208"/>
      <c r="E35" s="209"/>
      <c r="F35" s="217" t="str">
        <f t="shared" si="1"/>
        <v>n=1</v>
      </c>
      <c r="G35" s="218"/>
      <c r="H35" s="219"/>
      <c r="I35" s="213" t="s">
        <v>13</v>
      </c>
      <c r="J35" s="220" t="str">
        <f>IF(OR(D7=0,D8="　"),"",MID(F35,3,2))</f>
        <v>1</v>
      </c>
      <c r="K35" s="214">
        <f>IFERROR(D7*J35,"")</f>
        <v>10</v>
      </c>
    </row>
    <row r="36" spans="2:11" ht="12" customHeight="1">
      <c r="B36" s="206" t="str" cm="1">
        <f t="array" ref="B36">_xlfn.IFS(OR(D7=0,D8="　"),"",MID(D10,1,3)="アルミ","頭部防錆油",MID(D10,1,3)&lt;&gt;"アルミ","余長キャップ")</f>
        <v>余長キャップ</v>
      </c>
      <c r="C36" s="221" t="str" cm="1">
        <f t="array" ref="C36">_xlfn.IFS(OR(D7=0,D8="　"),"",MID(D10,1,3)="アルミ","PCコートC",MID(D10,1,3)&lt;&gt;"アルミ","TC"&amp;MID(D8,4,1)&amp;"、高密度ポチエチレン")</f>
        <v>TC5、高密度ポチエチレン</v>
      </c>
      <c r="D36" s="208"/>
      <c r="E36" s="209"/>
      <c r="F36" s="217" t="str" cm="1">
        <f t="array" ref="F36">_xlfn.IFS(OR(D7=0,D8="　"),"",MID(D10,1,3)="アルミ","W="&amp;IF(MID(D8,4,1)="5",_xlfn.SWITCH(1*MID(LEFT(D8, LEN(D8)-1),6,2),1,1.9,2,1.3,3,1.3,4,1.3,5,1.6,6,1.6,7,1.6,8,3.1,9,3.1,10,3.1,11,3.1,12,3.1),"G6"&amp;_xlfn.SWITCH(1*MID(LEFT(D8, LEN(D8)-1),6,2),1,1.8,2,1.3,3,1.8,4,1.8,5,3.3,6,3.3,7,3.3,8,9.9,9,9.9,10,9.9,11,9.9,12,9.9,13,9.9,14,9.9)),MID(D10,1,3)&lt;&gt;"アルミ","n=1")</f>
        <v>n=1</v>
      </c>
      <c r="G36" s="218"/>
      <c r="H36" s="219"/>
      <c r="I36" s="213" t="str" cm="1">
        <f t="array" ref="I36">_xlfn.IFS(OR(D7=0,D8="　"),"",MID(D10,1,3)="アルミ","kg",MID(D10,1,3)&lt;&gt;"アルミ","式")</f>
        <v>式</v>
      </c>
      <c r="J36" s="220" t="str">
        <f>IF(OR(D7=0,D8="　"),"",MID(F36,3,4))</f>
        <v>1</v>
      </c>
      <c r="K36" s="214">
        <f>IFERROR(D7*J36,"")</f>
        <v>10</v>
      </c>
    </row>
    <row r="37" spans="2:11" ht="12" customHeight="1">
      <c r="B37" s="206" t="s">
        <v>9</v>
      </c>
      <c r="C37" s="207" t="str" cm="1">
        <f t="array" ref="C37">IF(OR(D7=0,D8="　"),"",IF(MID(D8,4,1)="5","PS5-"&amp;_xlfn.SWITCH(1*MID(LEFT(D8, LEN(D8)-1),6,2),1,"7",2,"2",3,"3",4,"4",5,"7",6,"7",7,"7",8,"12",9,"12",10,"12",11,"12",12,"12"),"PS6-"&amp;_xlfn.SWITCH(1*MID(LEFT(D8, LEN(D8)-1),6,2),1,"7",2,"2",3,"3",4,"4",5,"7",6,"7",7,"7",8,"12",9,"12",10,"12",11,"12",12,"12",13,"14",14,"14"))&amp;"、高密度ポリエチレン")</f>
        <v>PS5-12、高密度ポリエチレン</v>
      </c>
      <c r="D37" s="208"/>
      <c r="E37" s="209"/>
      <c r="F37" s="217" t="str">
        <f>"n=2"</f>
        <v>n=2</v>
      </c>
      <c r="G37" s="218"/>
      <c r="H37" s="219"/>
      <c r="I37" s="213" t="s">
        <v>13</v>
      </c>
      <c r="J37" s="220" t="str">
        <f>IF(OR(D7=0,D8="　"),"",MID(F37,3,2))</f>
        <v>2</v>
      </c>
      <c r="K37" s="214">
        <f>IFERROR(D7*J37,"")</f>
        <v>20</v>
      </c>
    </row>
    <row r="38" spans="2:11" ht="12" customHeight="1">
      <c r="B38" s="206" t="s">
        <v>2</v>
      </c>
      <c r="C38" s="207" t="str" cm="1">
        <f t="array" ref="C38">IF(OR(D7=0,D8="　"),"",IF(MID(D8,4,1)="5","S5-"&amp;_xlfn.IFS(1*MID(LEFT(D8, LEN(D8)-1),6,2)&lt;6,"5",1*MID(LEFT(D8, LEN(D8)-1),6,2)&lt;9,"8",1*MID(LEFT(D8, LEN(D8)-1),6,2)&gt;8,"12"),"S6-"&amp;_xlfn.IFS(1*MID(LEFT(D8, LEN(D8)-1),6,2)&lt;4,"3",1*MID(LEFT(D8, LEN(D8)-1),6,2)&lt;7,"6",1*MID(LEFT(D8, LEN(D8)-1),6,2)&lt;10,"9",1*MID(LEFT(D8, LEN(D8)-1),6,2)&lt;13,"12",1*MID(LEFT(D8, LEN(D8)-1),6,2)&gt;12,"14"))&amp;"、ポリプロピレン")</f>
        <v>S5-8、ポリプロピレン</v>
      </c>
      <c r="D38" s="208"/>
      <c r="E38" s="209"/>
      <c r="F38" s="222" t="s">
        <v>155</v>
      </c>
      <c r="G38" s="211"/>
      <c r="H38" s="212"/>
      <c r="I38" s="213" t="s">
        <v>13</v>
      </c>
      <c r="J38" s="206">
        <f>IF(OR(D7=0,D8="　"),"",MROUND((D16-0.4)/1,1))</f>
        <v>4</v>
      </c>
      <c r="K38" s="214">
        <f>IFERROR(D7*J38,"")</f>
        <v>40</v>
      </c>
    </row>
    <row r="39" spans="2:11" ht="12" customHeight="1">
      <c r="B39" s="206" t="s">
        <v>1</v>
      </c>
      <c r="C39" s="207" t="str" cm="1">
        <f t="array" ref="C39">IF(OR(D7=0,D8="　"),"",IF(MID(D8,4,1)="5","PC5-"&amp;_xlfn.IFS(1*MID(LEFT(D8, LEN(D8)-1),6,2)&lt;5,"4",1*MID(LEFT(D8, LEN(D8)-1),6,2)&lt;8,"7",1*MID(LEFT(D8, LEN(D8)-1),6,2)&lt;10,"9",1*MID(LEFT(D8, LEN(D8)-1),6,2)&gt;9,"12"),"PC6-"&amp;_xlfn.IFS(1*MID(LEFT(D8, LEN(D8)-1),6,2)&lt;4,"3",1*MID(LEFT(D8, LEN(D8)-1),6,2)&lt;8,"7",1*MID(LEFT(D8, LEN(D8)-1),6,2)&lt;13,"12",1*MID(LEFT(D8, LEN(D8)-1),6,2)&gt;12,"14"))&amp;"、ポリプロピレン")</f>
        <v>PC5-9、ポリプロピレン</v>
      </c>
      <c r="D39" s="208"/>
      <c r="E39" s="209"/>
      <c r="F39" s="217" t="str">
        <f>"n=1"</f>
        <v>n=1</v>
      </c>
      <c r="G39" s="218"/>
      <c r="H39" s="219"/>
      <c r="I39" s="213" t="s">
        <v>13</v>
      </c>
      <c r="J39" s="220" t="str">
        <f>IF(OR(D7=0,D8="　"),"",MID(F39,3,2))</f>
        <v>1</v>
      </c>
      <c r="K39" s="214">
        <f>IFERROR(D7*J39,"")</f>
        <v>10</v>
      </c>
    </row>
    <row r="40" spans="2:11" ht="12" customHeight="1">
      <c r="B40" s="206" t="s">
        <v>3</v>
      </c>
      <c r="C40" s="207" t="str">
        <f>IF(OR(D7=0,D8="　"),"","66ナイロン")</f>
        <v>66ナイロン</v>
      </c>
      <c r="D40" s="208"/>
      <c r="E40" s="209"/>
      <c r="F40" s="222" t="s">
        <v>156</v>
      </c>
      <c r="G40" s="211"/>
      <c r="H40" s="212"/>
      <c r="I40" s="213" t="s">
        <v>14</v>
      </c>
      <c r="J40" s="206">
        <f>IF(OR(D7=0,D8="　"),"",2*J38)</f>
        <v>8</v>
      </c>
      <c r="K40" s="214">
        <f>IFERROR(D7*J40,"")</f>
        <v>80</v>
      </c>
    </row>
    <row r="41" spans="2:11" ht="12" customHeight="1">
      <c r="B41" s="206" t="s">
        <v>4</v>
      </c>
      <c r="C41" s="207" t="str">
        <f>IF(OR(D7=0,D8="　"),"","フィラメントテープ")</f>
        <v>フィラメントテープ</v>
      </c>
      <c r="D41" s="208"/>
      <c r="E41" s="209"/>
      <c r="F41" s="222" t="str">
        <f>IF(OR(D7=0,D8="　"),"","L=((自由長+緊張部長)÷@1.0m)×テープ係数"&amp;IF(MID(D8,4,1)="5",_xlfn.IFS(1*MID(LEFT(D8, LEN(D8)-1),6,2)&lt;4,"0.8",1*MID(LEFT(D8, LEN(D8)-1),6,2)&lt;7,"1.0",1*MID(LEFT(D8, LEN(D8)-1),6,2)&lt;10,"1.2",1*MID(LEFT(D8, LEN(D8)-1),6,2)&lt;13,"1.4"),_xlfn.IFS(1*MID(LEFT(D8, LEN(D8)-1),6,2)&lt;4,"1.0",1*MID(LEFT(D8, LEN(D8)-1),6,2)&lt;7,"1.2",1*MID(LEFT(D8, LEN(D8)-1),6,2)&lt;10,"1.4",1*MID(LEFT(D8, LEN(D8)-1),6,2)&lt;15,"1.8")))</f>
        <v>L=((自由長+緊張部長)÷@1.0m)×テープ係数1.2</v>
      </c>
      <c r="G41" s="211"/>
      <c r="H41" s="212"/>
      <c r="I41" s="213" t="s">
        <v>12</v>
      </c>
      <c r="J41" s="223">
        <f>IF(OR(D7=0,D8="　"),"",MROUND((SUM(D17,D18))/1*RIGHT(F41, 3),0.1))</f>
        <v>6.8000000000000007</v>
      </c>
      <c r="K41" s="214">
        <f>IFERROR(D7*J41,"")</f>
        <v>68</v>
      </c>
    </row>
    <row r="42" spans="2:11" ht="12" customHeight="1">
      <c r="B42" s="206" t="s">
        <v>0</v>
      </c>
      <c r="C42" s="207" t="str">
        <f>IF(OR(D7=0,D8="　"),"","16/20、高密度ポリエチレン")</f>
        <v>16/20、高密度ポリエチレン</v>
      </c>
      <c r="D42" s="208"/>
      <c r="E42" s="209"/>
      <c r="F42" s="210" t="s">
        <v>33</v>
      </c>
      <c r="G42" s="211"/>
      <c r="H42" s="212"/>
      <c r="I42" s="213" t="s">
        <v>12</v>
      </c>
      <c r="J42" s="214">
        <f>IF(OR(D7=0,D8="　"),"",MROUND(D20,0.1))</f>
        <v>9.9</v>
      </c>
      <c r="K42" s="214">
        <f>IFERROR(D7*J42,"")</f>
        <v>99</v>
      </c>
    </row>
    <row r="43" spans="2:11" ht="12" customHeight="1">
      <c r="B43" s="206" t="str" cm="1">
        <f t="array" ref="B43">_xlfn.IFS(OR(D7=0,D8="　",MID(D11,1,2)="なし",MID(D11,1,3)="受圧体"),"",MID(D11,1,3)="のり面","のり面角度台座",MID(D11,1,3)="構造物","構造物壁面台座",MID(D11,1,3)="土留め","土留め台座")</f>
        <v/>
      </c>
      <c r="C43" s="210" t="str" cm="1">
        <f t="array" ref="C43">IF(OR(D7=0,D8="　",MID(D11,1,2)="なし",MID(D11,1,3)="受圧体"),"",_xlfn.IFS(MID(D11,1,3)="のり面",IF(1*MID(D8,4,1)=5,_xlfn.IFS(1*MID(LEFT(D8, LEN(D8)-1),6,2)&lt;5,"ST140",1*MID(LEFT(D8, LEN(D8)-1),6,2)&lt;8,"ST170",1*MID(LEFT(D8, LEN(D8)-1),6,2)&lt;13,"ST220"),_xlfn.IFS(1*MID(LEFT(D8, LEN(D8)-1),6,2)&lt;4,"ST140",1*MID(LEFT(D8, LEN(D8)-1),6,2)&lt;5,"ST170",1*MID(LEFT(D8, LEN(D8)-1),6,2)&lt;8,"ST220",1*MID(LEFT(D8, LEN(D8)-1),6,2)&lt;15,"非該当"))&amp;"、FCD450相当、防食："&amp;_xlfn.IFS(MID(D9,1,3)="防食Ⅱ","HDZT77めっき",MID(D9,5,2)="塩害","ｱﾙﾐﾅｲｽﾞ処理",MID(D9,5,2)="酸性","重防食処理"),OR(MID(D11,1,3)="構造物",MID(D11,1,3)="土留め"),D8&amp;"用"&amp;IF(OR(MID(D11,1,3)="構造物",D12="　"),"",D12)&amp;"、防食："&amp;_xlfn.IFS(MID(D9,1,3)="防食Ⅱ","HDZT77めっき",MID(D9,5,2)="塩害","ｱﾙﾐﾅｲｽﾞ処理",MID(D9,5,2)="酸性","重防食処理")))</f>
        <v/>
      </c>
      <c r="D43" s="208"/>
      <c r="E43" s="209"/>
      <c r="F43" s="217" t="str">
        <f>IF(OR(D11="なし",D11="受圧体のみ"),"","n=1")</f>
        <v/>
      </c>
      <c r="G43" s="218"/>
      <c r="H43" s="219"/>
      <c r="I43" s="213" t="str">
        <f>IF(OR(D7=0,D8="　",B43=""),"","台")</f>
        <v/>
      </c>
      <c r="J43" s="220" t="str">
        <f>IF(OR(D7=0,D8="　"),"",MID(F43,3,2))</f>
        <v/>
      </c>
      <c r="K43" s="214" t="str">
        <f>IFERROR(D7*J43,"")</f>
        <v/>
      </c>
    </row>
    <row r="44" spans="2:11" ht="12" customHeight="1">
      <c r="B44" s="206" t="str">
        <f>IF(OR(D7=0,D8="　",MID(D11,1,3)&lt;&gt;"のり面"),"","補剛板")</f>
        <v/>
      </c>
      <c r="C44" s="210" t="str" cm="1">
        <f t="array" ref="C44">IF(OR(D7=0,D8="　",MID(D11,1,3)&lt;&gt;"のり面"),"",IF(MID(D8,4,1)="5","□"&amp;_xlfn.SWITCH(1*MID(LEFT(D8, LEN(D8)-1),6,2),1,"210φ131t12",2,"210φ131t12",3,"240φ131t12",4,"270φ131t12",5,"280φ143t12",6,"310φ143t16",7,"350φ143t19",8,"350φ180t19",9,"350φ180t19",10,"350φ180t19",11,"350φ180t22",12,"350φ180t22"),"□"&amp;_xlfn.SWITCH(1*MID(LEFT(D8, LEN(D8)-1),6,2),1,"210,φ131,t12",2,"240,φ131,t12",3,"270,φ131,t16",4,"300,φ143,t16",5,"350,φ180,t16",6,"350,φ180,t16",7,"350,φ180,t19",8,"400,φ──,t12",9,"400,φ──,t12",10,"400,φ──,t12",11,"400,φ──,t12",12,"400,φ──,t12",13,"400,φ──,t12",14,"400,φ──,t12"))&amp;"、SS400相当、防食："&amp;_xlfn.IFS(MID(D9,1,3)="防食Ⅱ","HDZT77めっき",MID(D9,5,2)="塩害","ｱﾙﾐﾅｲｽﾞ処理",MID(D9,5,2)="酸性","重防食処理"))</f>
        <v/>
      </c>
      <c r="D44" s="208"/>
      <c r="E44" s="209"/>
      <c r="F44" s="217" t="str">
        <f>IF(OR(D7=0,D8="　",MID(D11,1,3)&lt;&gt;"のり面"),"","n=1")</f>
        <v/>
      </c>
      <c r="G44" s="218"/>
      <c r="H44" s="219"/>
      <c r="I44" s="213" t="str">
        <f>IF(OR(D7=0,D8="　",B44="",MID(D11,1,3)&lt;&gt;"のり面"),"","枚")</f>
        <v/>
      </c>
      <c r="J44" s="220" t="str">
        <f>IF(OR(D7=0,D8="　"),"",MID(F44,3,2))</f>
        <v/>
      </c>
      <c r="K44" s="214" t="str">
        <f>IFERROR(D7*J44,"")</f>
        <v/>
      </c>
    </row>
    <row r="45" spans="2:11" ht="12" customHeight="1">
      <c r="B45" s="206" t="str" cm="1">
        <f t="array" ref="B45">_xlfn.IFS(OR(D7=0,D8="　"),"",MID(D10,1,3)="アルミ","",MID(D10,1,3)&lt;&gt;"アルミ","テンドン補修用塗料")</f>
        <v>テンドン補修用塗料</v>
      </c>
      <c r="C45" s="210" t="str" cm="1">
        <f t="array" ref="C45">_xlfn.IFS(OR(D7=0,D8="　"),"",MID(D10,1,3)="アルミ","",MID(D10,1,3)&lt;&gt;"アルミ","エポキシ樹脂")</f>
        <v>エポキシ樹脂</v>
      </c>
      <c r="D45" s="208"/>
      <c r="E45" s="209"/>
      <c r="F45" s="217" t="str" cm="1">
        <f t="array" ref="F45">_xlfn.IFS(OR(D7=0,D8="　"),"",MID(D10,1,3)="アルミ","",MID(D10,1,3)&lt;&gt;"アルミ","W=PC鋼より線本数×"&amp;IF(MID(D8,4,1)="5","0.28","0.40"))</f>
        <v>W=PC鋼より線本数×0.28</v>
      </c>
      <c r="G45" s="218"/>
      <c r="H45" s="219"/>
      <c r="I45" s="213" t="str" cm="1">
        <f t="array" ref="I45">_xlfn.IFS(OR(D7=0,D8="　"),"",MID(D10,1,3)="アルミ","",MID(D10,1,3)&lt;&gt;"アルミ","g")</f>
        <v>g</v>
      </c>
      <c r="J45" s="224" cm="1">
        <f t="array" ref="J45">_xlfn.IFS(OR(D7=0,D8="　"),"",MID(D10,1,3)="アルミ","",MID(D10,1,3)&lt;&gt;"アルミ",MID(LEFT(D8, LEN(D8)-1),6,2)*IF(MID(D8,4,1)="5",0.28,0.4))</f>
        <v>2.2400000000000002</v>
      </c>
      <c r="K45" s="214">
        <f>IFERROR(D7*J45,"")</f>
        <v>22.400000000000002</v>
      </c>
    </row>
    <row r="46" spans="2:11" ht="12" customHeight="1">
      <c r="B46" s="206" t="str" cm="1">
        <f t="array" ref="B46">_xlfn.IFS(OR(D7=0,D8="　"),"",MID(D10,1,3)="アルミ","",MID(D10,1,3)&lt;&gt;"アルミ","長期防錆スプレー")</f>
        <v>長期防錆スプレー</v>
      </c>
      <c r="C46" s="210" t="str" cm="1">
        <f t="array" ref="C46">_xlfn.IFS(OR(D7=0,D8="　"),"",MID(D10,1,3)="アルミ","",MID(D10,1,3)&lt;&gt;"アルミ","防錆オイル")</f>
        <v>防錆オイル</v>
      </c>
      <c r="D46" s="208"/>
      <c r="E46" s="209"/>
      <c r="F46" s="217" t="str" cm="1">
        <f t="array" ref="F46">_xlfn.IFS(OR(D7=0,D8="　"),"",MID(D10,1,3)="アルミ","",MID(D10,1,3)&lt;&gt;"アルミ","n=0.01×(PC鋼より線本数+"&amp;IF(MID(D8,4,1)="5","6","12")&amp;")")</f>
        <v>n=0.01×(PC鋼より線本数+6)</v>
      </c>
      <c r="G46" s="218"/>
      <c r="H46" s="219"/>
      <c r="I46" s="213" t="str" cm="1">
        <f t="array" ref="I46">_xlfn.IFS(OR(D7=0,D8="　"),"",MID(D10,1,3)="アルミ","",MID(D10,1,3)&lt;&gt;"アルミ","缶")</f>
        <v>缶</v>
      </c>
      <c r="J46" s="224" cm="1">
        <f t="array" ref="J46">_xlfn.IFS(OR(D7=0,D8="　"),"",MID(D10,1,3)="アルミ","",MID(D10,1,3)&lt;&gt;"アルミ",0.01*(MID(LEFT(D8, LEN(D8)-1),6,2)+IF(MID(D8,4,1)="5",6,12)))</f>
        <v>0.14000000000000001</v>
      </c>
      <c r="K46" s="214">
        <f>IFERROR(D7*J46,"")</f>
        <v>1.4000000000000001</v>
      </c>
    </row>
    <row r="47" spans="2:11" ht="12" customHeight="1">
      <c r="B47" s="206" t="str">
        <f>IF(OR(D7=0,D8="　",D13="なし"),"","フリーパッカー注入ホース")</f>
        <v/>
      </c>
      <c r="C47" s="207" t="str">
        <f>IF(OR(D7=0,D8="　",B47=""),"","16/20、高密度ポリエチレン")</f>
        <v/>
      </c>
      <c r="D47" s="208"/>
      <c r="E47" s="209"/>
      <c r="F47" s="210" t="str">
        <f>IF(B47="","","L=自由長+緊張部長")</f>
        <v/>
      </c>
      <c r="G47" s="211"/>
      <c r="H47" s="212"/>
      <c r="I47" s="213" t="str">
        <f>IF(OR(D7=0,D8="　",B47=""),"","m")</f>
        <v/>
      </c>
      <c r="J47" s="214" t="str">
        <f>IF(OR(D7=0,D8="　"),"",IF(B47="","",MROUND(D17+D18,0.1)))</f>
        <v/>
      </c>
      <c r="K47" s="214" t="str">
        <f>IFERROR(D7*J47,"")</f>
        <v/>
      </c>
    </row>
    <row r="48" spans="2:11" ht="12" customHeight="1">
      <c r="B48" s="225" t="str">
        <f>IF(OR(D7=0,D8="　",D13="なし"),"","フリーパッカー")</f>
        <v/>
      </c>
      <c r="C48" s="217" t="str" cm="1">
        <f t="array" ref="C48">IF(OR(D7=0,D8="　",B47=""),"",_xlfn.SWITCH(D22,90,"PA-170",115,"PA-200",135,"PA-240",146,"PA-240",165,"PA-350")&amp;"、織布")</f>
        <v/>
      </c>
      <c r="D48" s="208"/>
      <c r="E48" s="209"/>
      <c r="F48" s="226" t="str">
        <f>IF(B48="","","L=自由長+0.5m")</f>
        <v/>
      </c>
      <c r="G48" s="227"/>
      <c r="H48" s="228"/>
      <c r="I48" s="213" t="str">
        <f>IF(OR(D8=0,D9="　",B48=""),"","m")</f>
        <v/>
      </c>
      <c r="J48" s="214" t="str">
        <f>IF(OR(D7=0,D8="　"),"",IF(B48="","",MROUND(D17+0.5,0.1)))</f>
        <v/>
      </c>
      <c r="K48" s="214" t="str">
        <f>IFERROR(D7*J48,"")</f>
        <v/>
      </c>
    </row>
    <row r="49" spans="2:13" ht="12" customHeight="1">
      <c r="B49" s="206" t="str">
        <f>IF(OR(D7=0,D8="　",D13="なし"),"","パッカー取付加工")</f>
        <v/>
      </c>
      <c r="C49" s="207"/>
      <c r="D49" s="208"/>
      <c r="E49" s="209"/>
      <c r="F49" s="217" t="str">
        <f>IF(B49="","","n=1")</f>
        <v/>
      </c>
      <c r="G49" s="218"/>
      <c r="H49" s="219"/>
      <c r="I49" s="213" t="str">
        <f>IF(OR(D9=0,D10="　",B49=""),"","式")</f>
        <v/>
      </c>
      <c r="J49" s="220" t="str">
        <f>IF(OR(D7=0,D8="　"),"",MID(F49,3,2))</f>
        <v/>
      </c>
      <c r="K49" s="206" t="str">
        <f>IFERROR(D7*J49,"")</f>
        <v/>
      </c>
    </row>
    <row r="50" spans="2:13" ht="12" customHeight="1">
      <c r="B50" s="229"/>
      <c r="C50" s="230"/>
      <c r="D50" s="231"/>
      <c r="E50" s="232"/>
      <c r="F50" s="233"/>
      <c r="G50" s="234"/>
      <c r="H50" s="235"/>
      <c r="I50" s="236"/>
      <c r="J50" s="237"/>
      <c r="K50" s="229"/>
    </row>
    <row r="51" spans="2:13" ht="12" customHeight="1">
      <c r="B51" s="238" t="s">
        <v>30</v>
      </c>
      <c r="C51" s="239" t="s">
        <v>31</v>
      </c>
      <c r="D51" s="240"/>
      <c r="E51" s="241"/>
      <c r="F51" s="242" t="s">
        <v>157</v>
      </c>
      <c r="G51" s="243"/>
      <c r="H51" s="244"/>
      <c r="I51" s="245" t="s">
        <v>55</v>
      </c>
      <c r="J51" s="246">
        <f>IFERROR(MROUND(0.25*PI()*(0.001*D22)^2*(D15+D16+D21)*(1+2.2),0.01),"")</f>
        <v>0.27</v>
      </c>
      <c r="K51" s="246">
        <f>IFERROR(D7*J51,"")</f>
        <v>2.7</v>
      </c>
    </row>
    <row r="53" spans="2:13" ht="12" customHeight="1">
      <c r="B53" s="247" t="s">
        <v>136</v>
      </c>
      <c r="C53" s="247"/>
      <c r="D53" s="247"/>
      <c r="F53" s="163"/>
      <c r="G53" s="164"/>
      <c r="H53" s="164"/>
    </row>
    <row r="54" spans="2:13" ht="12" customHeight="1">
      <c r="B54" s="15" t="s">
        <v>111</v>
      </c>
      <c r="C54" s="15"/>
      <c r="D54" s="1"/>
      <c r="E54" s="1"/>
      <c r="H54" s="119"/>
      <c r="J54" s="118"/>
    </row>
    <row r="55" spans="2:13" ht="12" customHeight="1">
      <c r="B55" s="165" t="s">
        <v>158</v>
      </c>
      <c r="C55" s="3"/>
      <c r="D55" s="1"/>
      <c r="E55" s="1"/>
      <c r="F55" s="8"/>
      <c r="G55" s="8"/>
      <c r="H55" s="102"/>
      <c r="I55" s="28"/>
      <c r="J55" s="118"/>
    </row>
    <row r="56" spans="2:13" ht="12" customHeight="1">
      <c r="B56" s="15" t="s">
        <v>40</v>
      </c>
      <c r="C56" s="3"/>
      <c r="D56" s="1"/>
      <c r="E56" s="1"/>
      <c r="F56" s="15" t="s">
        <v>54</v>
      </c>
      <c r="G56" s="15"/>
      <c r="H56" s="102"/>
      <c r="I56" s="28"/>
    </row>
    <row r="57" spans="2:13" ht="12" customHeight="1">
      <c r="B57" s="2" t="s">
        <v>53</v>
      </c>
      <c r="C57" s="2" t="s">
        <v>21</v>
      </c>
      <c r="D57" s="2" t="s">
        <v>22</v>
      </c>
      <c r="E57" s="17"/>
      <c r="F57" s="49" t="s">
        <v>41</v>
      </c>
      <c r="G57" s="97" t="s">
        <v>59</v>
      </c>
      <c r="H57" s="49" t="s">
        <v>44</v>
      </c>
      <c r="I57" s="2" t="s">
        <v>21</v>
      </c>
      <c r="J57" s="49" t="s">
        <v>138</v>
      </c>
      <c r="K57" s="2" t="s">
        <v>28</v>
      </c>
    </row>
    <row r="58" spans="2:13" ht="12" customHeight="1">
      <c r="B58" s="166" t="s">
        <v>25</v>
      </c>
      <c r="C58" s="18" t="s">
        <v>24</v>
      </c>
      <c r="D58" s="167">
        <v>10</v>
      </c>
      <c r="E58" s="19"/>
      <c r="F58" s="168" t="s">
        <v>43</v>
      </c>
      <c r="G58" s="169" t="s">
        <v>113</v>
      </c>
      <c r="H58" s="88" t="str" cm="1">
        <f t="array" ref="H58">_xlfn.IFS(AND(F58&lt;&gt;"非削孔",F58&lt;&gt;"無設定"),D73,F58="非削孔",IF(MID(D62,1,3)="土留め","非削孔","箱抜き"),F58="無設定","無設定")</f>
        <v>箱抜き</v>
      </c>
      <c r="I58" s="23" t="str">
        <f>IF(F58="無設定","","m")</f>
        <v>m</v>
      </c>
      <c r="J58" s="170">
        <v>0.5</v>
      </c>
      <c r="K58" s="30">
        <f>D58*J58</f>
        <v>5</v>
      </c>
    </row>
    <row r="59" spans="2:13" ht="12" customHeight="1">
      <c r="B59" s="171" t="s">
        <v>37</v>
      </c>
      <c r="C59" s="50" t="s">
        <v>38</v>
      </c>
      <c r="D59" s="172" t="s">
        <v>159</v>
      </c>
      <c r="E59" s="173"/>
      <c r="F59" s="174" t="s">
        <v>49</v>
      </c>
      <c r="G59" s="169" t="s">
        <v>114</v>
      </c>
      <c r="H59" s="88" cm="1">
        <f t="array" ref="H59">_xlfn.IFS(AND(F59&lt;&gt;"非削孔",F59&lt;&gt;"無設定"),D73,F59="非削孔","箱抜き",F59="無設定","無設定")</f>
        <v>90</v>
      </c>
      <c r="I59" s="23" t="str">
        <f t="shared" ref="I59:I67" si="2">IF(F59="無設定","","m")</f>
        <v>m</v>
      </c>
      <c r="J59" s="170">
        <v>2.64</v>
      </c>
      <c r="K59" s="30">
        <f>D58*J59</f>
        <v>26.400000000000002</v>
      </c>
    </row>
    <row r="60" spans="2:13" ht="12" customHeight="1">
      <c r="B60" s="52" t="s">
        <v>39</v>
      </c>
      <c r="C60" s="91" t="s">
        <v>38</v>
      </c>
      <c r="D60" s="175" t="s">
        <v>60</v>
      </c>
      <c r="E60" s="140"/>
      <c r="F60" s="174" t="s">
        <v>49</v>
      </c>
      <c r="G60" s="169" t="s">
        <v>115</v>
      </c>
      <c r="H60" s="88" cm="1">
        <f t="array" ref="H60">_xlfn.IFS(AND(F60&lt;&gt;"非削孔",F60&lt;&gt;"無設定"),D73,F60="非削孔","箱抜き",F60="無設定","無設定")</f>
        <v>90</v>
      </c>
      <c r="I60" s="23" t="str">
        <f t="shared" si="2"/>
        <v>m</v>
      </c>
      <c r="J60" s="170">
        <v>5.36</v>
      </c>
      <c r="K60" s="30">
        <f>D58*J60</f>
        <v>53.6</v>
      </c>
    </row>
    <row r="61" spans="2:13" ht="12" customHeight="1">
      <c r="B61" s="147" t="s">
        <v>140</v>
      </c>
      <c r="C61" s="91" t="s">
        <v>38</v>
      </c>
      <c r="D61" s="176" t="s">
        <v>141</v>
      </c>
      <c r="E61" s="141"/>
      <c r="F61" s="174" t="s">
        <v>48</v>
      </c>
      <c r="G61" s="169"/>
      <c r="H61" s="88" t="str" cm="1">
        <f t="array" ref="H61">_xlfn.IFS(AND(F61&lt;&gt;"非削孔",F61&lt;&gt;"無設定"),D73,F61="非削孔","箱抜き",F61="無設定","無設定")</f>
        <v>無設定</v>
      </c>
      <c r="I61" s="23" t="str">
        <f t="shared" si="2"/>
        <v/>
      </c>
      <c r="J61" s="170">
        <v>0</v>
      </c>
      <c r="K61" s="30">
        <f>D58*J61</f>
        <v>0</v>
      </c>
      <c r="M61" s="112"/>
    </row>
    <row r="62" spans="2:13" ht="12" customHeight="1">
      <c r="B62" s="147" t="s">
        <v>142</v>
      </c>
      <c r="C62" s="91" t="s">
        <v>38</v>
      </c>
      <c r="D62" s="177" t="s">
        <v>160</v>
      </c>
      <c r="E62" s="21"/>
      <c r="F62" s="174" t="s">
        <v>48</v>
      </c>
      <c r="G62" s="169"/>
      <c r="H62" s="88" t="str" cm="1">
        <f t="array" ref="H62">_xlfn.IFS(AND(F62&lt;&gt;"非削孔",F62&lt;&gt;"無設定"),D73,F62="非削孔","箱抜き",F62="無設定","無設定")</f>
        <v>無設定</v>
      </c>
      <c r="I62" s="23" t="str">
        <f t="shared" si="2"/>
        <v/>
      </c>
      <c r="J62" s="170">
        <v>0</v>
      </c>
      <c r="K62" s="30">
        <f>D58*J62</f>
        <v>0</v>
      </c>
    </row>
    <row r="63" spans="2:13" ht="12" customHeight="1">
      <c r="B63" s="114" t="str">
        <f>IF(MID(D62,1,3)="土留め",D62&amp;"の種類","")</f>
        <v/>
      </c>
      <c r="C63" s="91" t="s">
        <v>38</v>
      </c>
      <c r="D63" s="178" t="s">
        <v>71</v>
      </c>
      <c r="E63" s="21"/>
      <c r="F63" s="174" t="s">
        <v>48</v>
      </c>
      <c r="G63" s="169"/>
      <c r="H63" s="88" t="str" cm="1">
        <f t="array" ref="H63">_xlfn.IFS(AND(F63&lt;&gt;"非削孔",F63&lt;&gt;"無設定"),D73,F63="非削孔","箱抜き",F63="無設定","無設定")</f>
        <v>無設定</v>
      </c>
      <c r="I63" s="23" t="str">
        <f t="shared" si="2"/>
        <v/>
      </c>
      <c r="J63" s="170">
        <v>0</v>
      </c>
      <c r="K63" s="30">
        <f>D58*J63</f>
        <v>0</v>
      </c>
    </row>
    <row r="64" spans="2:13" ht="12" customHeight="1">
      <c r="B64" s="179" t="s">
        <v>50</v>
      </c>
      <c r="C64" s="180" t="s">
        <v>38</v>
      </c>
      <c r="D64" s="181" t="s">
        <v>51</v>
      </c>
      <c r="E64" s="182"/>
      <c r="F64" s="174" t="s">
        <v>48</v>
      </c>
      <c r="G64" s="169"/>
      <c r="H64" s="88" t="str" cm="1">
        <f t="array" ref="H64">_xlfn.IFS(AND(F64&lt;&gt;"非削孔",F64&lt;&gt;"無設定"),D73,F64="非削孔","箱抜き",F64="無設定","無設定")</f>
        <v>無設定</v>
      </c>
      <c r="I64" s="23" t="str">
        <f t="shared" si="2"/>
        <v/>
      </c>
      <c r="J64" s="170">
        <v>0</v>
      </c>
      <c r="K64" s="30">
        <f>D58*J64</f>
        <v>0</v>
      </c>
    </row>
    <row r="65" spans="2:13" ht="12" customHeight="1">
      <c r="B65" s="160" t="str" cm="1">
        <f t="array" ref="B65">"頭部自由長"&amp;_xlfn.IFS(MID(D62,1,2)="なし","",MID(D62,1,3)="受圧体","(受圧体)",MID(D62,1,3)="のり面","(角度台座＋受圧体)",MID(D62,1,3)="構造物","(壁面台座)",MID(D62,1,3)="土留め","(台座+腹起し)")&amp;"　Lfh"</f>
        <v>頭部自由長(角度台座＋受圧体)　Lfh</v>
      </c>
      <c r="C65" s="155" t="s">
        <v>23</v>
      </c>
      <c r="D65" s="183">
        <v>0.5</v>
      </c>
      <c r="E65" s="21"/>
      <c r="F65" s="174" t="s">
        <v>144</v>
      </c>
      <c r="G65" s="169"/>
      <c r="H65" s="88" cm="1">
        <f t="array" ref="H65">_xlfn.IFS(AND(F65&lt;&gt;"非削孔",F65&lt;&gt;"無設定"),D73,F65="非削孔","箱抜き",F65="無設定","無設定")</f>
        <v>90</v>
      </c>
      <c r="I65" s="23" t="str">
        <f t="shared" si="2"/>
        <v>m</v>
      </c>
      <c r="J65" s="170">
        <v>0</v>
      </c>
      <c r="K65" s="30">
        <f>D58*J65</f>
        <v>0</v>
      </c>
    </row>
    <row r="66" spans="2:13" ht="12" customHeight="1">
      <c r="B66" s="22" t="s">
        <v>108</v>
      </c>
      <c r="C66" s="23" t="s">
        <v>23</v>
      </c>
      <c r="D66" s="184">
        <v>4</v>
      </c>
      <c r="E66" s="21"/>
      <c r="F66" s="174" t="s">
        <v>48</v>
      </c>
      <c r="G66" s="169"/>
      <c r="H66" s="88" t="str" cm="1">
        <f t="array" ref="H66">_xlfn.IFS(AND(F66&lt;&gt;"非削孔",F66&lt;&gt;"無設定"),D73,F66="非削孔","箱抜き",F66="無設定","無設定")</f>
        <v>無設定</v>
      </c>
      <c r="I66" s="23" t="str">
        <f t="shared" si="2"/>
        <v/>
      </c>
      <c r="J66" s="170">
        <v>0</v>
      </c>
      <c r="K66" s="30">
        <f>D58*J66</f>
        <v>0</v>
      </c>
    </row>
    <row r="67" spans="2:13" ht="12" customHeight="1">
      <c r="B67" s="157" t="s">
        <v>36</v>
      </c>
      <c r="C67" s="158" t="s">
        <v>23</v>
      </c>
      <c r="D67" s="185">
        <v>4</v>
      </c>
      <c r="F67" s="186" t="str" cm="1">
        <f t="array" ref="F67">INDEX(F58:H66,MATCH("無設定",F58:F66,0)-1,MATCH(F57,F57:H57,0))</f>
        <v>軟　岩</v>
      </c>
      <c r="G67" s="100" t="str" cm="1">
        <f t="array" ref="G67">INDEX(F58:H66,MATCH("無設定",F58:F66,0)-1,MATCH(G57,F57:H57,0))&amp;"　(先端長 L2d)"</f>
        <v>風化岩 CL　(先端長 L2d)</v>
      </c>
      <c r="H67" s="88" cm="1">
        <f t="array" ref="H67">INDEX(F58:H66,MATCH("無設定",F58:F66,0)-1,MATCH(H57,F57:H57,0))</f>
        <v>90</v>
      </c>
      <c r="I67" s="23" t="str">
        <f t="shared" si="2"/>
        <v>m</v>
      </c>
      <c r="J67" s="98">
        <f>D72</f>
        <v>0.25</v>
      </c>
      <c r="K67" s="78">
        <f>IFERROR(D58*J67,"")</f>
        <v>2.5</v>
      </c>
    </row>
    <row r="68" spans="2:13" ht="12" customHeight="1">
      <c r="B68" s="154" t="s">
        <v>145</v>
      </c>
      <c r="C68" s="155" t="s">
        <v>23</v>
      </c>
      <c r="D68" s="187">
        <f>IF(OR(D58=0,D59="　"),"──",SUM(D65:D66))</f>
        <v>4.5</v>
      </c>
      <c r="E68" s="19"/>
      <c r="F68" s="188"/>
      <c r="G68" s="75" t="s">
        <v>124</v>
      </c>
      <c r="H68" s="103"/>
      <c r="I68" s="18" t="s">
        <v>23</v>
      </c>
      <c r="J68" s="74">
        <f>SUMIFS(J58:J67,F58:F67,"&lt;&gt;非削孔",F58:F67,"&lt;&gt;無設定")</f>
        <v>8.25</v>
      </c>
      <c r="K68" s="95">
        <f>SUMIFS(K58:K67,F58:F67,"&lt;&gt;非削孔",F58:F67,"&lt;&gt;無設定")</f>
        <v>82.5</v>
      </c>
    </row>
    <row r="69" spans="2:13" ht="12" customHeight="1">
      <c r="B69" s="146" t="s">
        <v>146</v>
      </c>
      <c r="C69" s="23" t="s">
        <v>23</v>
      </c>
      <c r="D69" s="189" cm="1">
        <f t="array" ref="D69">IF(OR(D58=0,D59="　"),"──",IF(MID(D59,4,1)="5",_xlfn.IFS(1*MID(LEFT(D59, LEN(D59)-1),6,2)&lt;8,1,1*MID(LEFT(D59, LEN(D59)-1),6,2)&lt;13,1.2),_xlfn.IFS(1*MID(LEFT(D59, LEN(D59)-1),6,2)&lt;6,1,1*MID(LEFT(D59, LEN(D59)-1),6,2)&lt;15,1.2)))</f>
        <v>1</v>
      </c>
      <c r="E69" s="19"/>
      <c r="F69" s="190"/>
      <c r="G69" s="76" t="s">
        <v>47</v>
      </c>
      <c r="H69" s="104"/>
      <c r="I69" s="79" t="s">
        <v>46</v>
      </c>
      <c r="J69" s="77" t="str">
        <f>IF(OR(D58=0,D59="　"),"",IF(SUM(D66:D67,D72)=J68,"OK","NG"))</f>
        <v>OK</v>
      </c>
      <c r="K69" s="145" t="str">
        <f>IF(J69&lt;&gt;"NG","──",J68-SUM(D66:D67,D72))</f>
        <v>──</v>
      </c>
      <c r="M69" s="144"/>
    </row>
    <row r="70" spans="2:13" ht="12" customHeight="1">
      <c r="B70" s="22" t="s">
        <v>125</v>
      </c>
      <c r="C70" s="23" t="s">
        <v>35</v>
      </c>
      <c r="D70" s="84">
        <f>IF(OR(D58=0,D59="　"),"──",0.2)</f>
        <v>0.2</v>
      </c>
      <c r="F70" s="191" t="s">
        <v>58</v>
      </c>
      <c r="G70" s="248" t="s">
        <v>110</v>
      </c>
      <c r="H70" s="249"/>
      <c r="I70" s="249"/>
      <c r="J70" s="249"/>
      <c r="K70" s="250"/>
    </row>
    <row r="71" spans="2:13" ht="12" customHeight="1">
      <c r="B71" s="6" t="s">
        <v>147</v>
      </c>
      <c r="C71" s="23" t="s">
        <v>23</v>
      </c>
      <c r="D71" s="60">
        <f>IF(OR(D58=0,D59="　"),"──",SUM(D67:D70))</f>
        <v>9.6999999999999993</v>
      </c>
    </row>
    <row r="72" spans="2:13" ht="12" customHeight="1">
      <c r="B72" s="25" t="s">
        <v>127</v>
      </c>
      <c r="C72" s="26" t="s">
        <v>23</v>
      </c>
      <c r="D72" s="27">
        <f>IF(OR(D58=0,D59="　"),"──",0.25)</f>
        <v>0.25</v>
      </c>
      <c r="F72" s="8"/>
      <c r="G72" s="8"/>
      <c r="H72" s="102"/>
    </row>
    <row r="73" spans="2:13" ht="12" customHeight="1">
      <c r="B73" s="95" t="s">
        <v>123</v>
      </c>
      <c r="C73" s="18" t="s">
        <v>32</v>
      </c>
      <c r="D73" s="192">
        <v>90</v>
      </c>
      <c r="E73" s="193" t="str">
        <f>IF(D73&lt;D74,"NG：削孔径不適合","")</f>
        <v/>
      </c>
      <c r="F73" s="8"/>
      <c r="G73" s="8"/>
      <c r="H73" s="102"/>
    </row>
    <row r="74" spans="2:13" ht="12" customHeight="1">
      <c r="B74" s="25" t="s">
        <v>122</v>
      </c>
      <c r="C74" s="26" t="s">
        <v>32</v>
      </c>
      <c r="D74" s="194" cm="1">
        <f t="array" ref="D74">IF(OR(D58=0,D59="　"),"──",IF(D64="なし",IF(MID(D59,4,1)="5",_xlfn.IFS(1*MID(LEFT(D59, LEN(D59)-1),6,2)&lt;6,90,1*MID(LEFT(D59, LEN(D59)-1),6,2)&lt;9,115,1*MID(LEFT(D59, LEN(D59)-1),6,2)&gt;8,135),_xlfn.IFS(1*MID(LEFT(D59, LEN(D59)-1),6,2)&lt;4,90,1*MID(LEFT(D59, LEN(D59)-1),6,2)&lt;7,115,1*MID(LEFT(D59, LEN(D59)-1),6,2)&lt;10,135,1*MID(LEFT(D59, LEN(D59)-1),6,2)&lt;13,146,1*MID(LEFT(D59, LEN(D59)-1),6,2)&gt;12,165)),IF(MID(D59,4,1)="5",_xlfn.IFS(1*MID(LEFT(D59, LEN(D59)-1),6,2)&lt;3,90,1*MID(LEFT(D59, LEN(D59)-1),6,2)&lt;7,115,1*MID(LEFT(D59, LEN(D59)-1),6,2)&lt;9,135,1*MID(LEFT(D59, LEN(D59)-1),6,2)&gt;8,146),_xlfn.IFS(1*MID(LEFT(D59, LEN(D59)-1),6,2)&lt;3,90,1*MID(LEFT(D59, LEN(D59)-1),6,2)&lt;4,115,1*MID(LEFT(D59, LEN(D59)-1),6,2)&lt;6,135,1*MID(LEFT(D59, LEN(D59)-1),6,2)&lt;10,146,1*MID(LEFT(D59, LEN(D59)-1),6,2)&lt;13,165,1*MID(LEFT(D59, LEN(D59)-1),6,2)&gt;12,216))))</f>
        <v>90</v>
      </c>
      <c r="E74" s="195"/>
      <c r="F74" s="8"/>
      <c r="G74" s="8"/>
      <c r="H74" s="102"/>
    </row>
    <row r="75" spans="2:13" ht="12" customHeight="1">
      <c r="B75" s="20"/>
      <c r="C75" s="46"/>
      <c r="D75" s="117"/>
      <c r="F75" s="8"/>
      <c r="G75" s="8"/>
      <c r="H75" s="102"/>
    </row>
    <row r="76" spans="2:13" ht="12" customHeight="1">
      <c r="B76" s="15" t="str">
        <f>"■"&amp;MID(B53,2,14)</f>
        <v>■本設：EHDアンカーHP工法</v>
      </c>
      <c r="C76" s="3"/>
      <c r="D76" s="1"/>
      <c r="E76" s="1"/>
      <c r="F76" s="8"/>
      <c r="G76" s="8"/>
      <c r="H76" s="102"/>
    </row>
    <row r="77" spans="2:13" ht="12" customHeight="1">
      <c r="B77" s="2" t="s">
        <v>17</v>
      </c>
      <c r="C77" s="43"/>
      <c r="D77" s="196" t="s">
        <v>148</v>
      </c>
      <c r="E77" s="135"/>
      <c r="F77" s="16"/>
      <c r="G77" s="61" t="s">
        <v>42</v>
      </c>
      <c r="H77" s="97"/>
      <c r="I77" s="2" t="s">
        <v>21</v>
      </c>
      <c r="J77" s="49" t="s">
        <v>149</v>
      </c>
      <c r="K77" s="2" t="s">
        <v>28</v>
      </c>
    </row>
    <row r="78" spans="2:13" ht="12" customHeight="1">
      <c r="B78" s="197" t="s">
        <v>150</v>
      </c>
      <c r="C78" s="198" t="str">
        <f>IF(OR(D58=0,D59="　"),"",D59&amp;" ("&amp;MID(LEFT(D59, LEN(D59)-1),6,2)&amp;IF(MID(D59,4,1)="5","φ12.7","φ15.2")&amp;")")</f>
        <v>EHD5-4H (4φ12.7)</v>
      </c>
      <c r="D78" s="199"/>
      <c r="E78" s="200"/>
      <c r="F78" s="201" t="str">
        <f>"W=テンドン長×PC鋼より線本数×"&amp;IF(MID(D59,4,1)="5","0.774","1.101")&amp;"kg/m"</f>
        <v>W=テンドン長×PC鋼より線本数×0.774kg/m</v>
      </c>
      <c r="G78" s="202"/>
      <c r="H78" s="203"/>
      <c r="I78" s="204" t="s">
        <v>11</v>
      </c>
      <c r="J78" s="205">
        <f>IF(OR(D58=0,D59="　"),"",MROUND(D71*MID(LEFT(D59, LEN(D59)-1),6,2)*IF(MID(D59,4,1)="5","0.774","1.101"),0.01))</f>
        <v>30.03</v>
      </c>
      <c r="K78" s="205">
        <f>IFERROR(D58*J78,"")</f>
        <v>300.3</v>
      </c>
      <c r="L78" s="13"/>
    </row>
    <row r="79" spans="2:13" ht="12" customHeight="1">
      <c r="B79" s="206" t="s">
        <v>151</v>
      </c>
      <c r="C79" s="207"/>
      <c r="D79" s="208"/>
      <c r="E79" s="209"/>
      <c r="F79" s="210" t="s">
        <v>33</v>
      </c>
      <c r="G79" s="211"/>
      <c r="H79" s="212"/>
      <c r="I79" s="213" t="s">
        <v>12</v>
      </c>
      <c r="J79" s="214">
        <f>IF(OR(D58=0,D59="　"),"",MROUND(D71,0.1))</f>
        <v>9.7000000000000011</v>
      </c>
      <c r="K79" s="214">
        <f>IFERROR(D58*J79,"")</f>
        <v>97.000000000000014</v>
      </c>
    </row>
    <row r="80" spans="2:13" ht="12" customHeight="1">
      <c r="B80" s="206" t="str">
        <f>"頭部キャップ"</f>
        <v>頭部キャップ</v>
      </c>
      <c r="C80" s="207" t="str" cm="1">
        <f t="array" ref="C80">IF(OR(D58=0,D59="　"),"",IF(MID(D59,4,1)="5",_xlfn.SWITCH(1*MID(LEFT(D59, LEN(D59)-1),6,2),1,"S",2,"S",3,"S",4,"S",5,"M",6,"M",7,"M",8,"L",9,"L",10,"L",11,"L",12,"L"),_xlfn.SWITCH(1*MID(LEFT(D59, LEN(D59)-1),6,2),1,"S",2,"S",3,"M",4,"M",5,"L",6,"L",7,"L",8,"LL",9,"LL",10,"LL",11,"LL",12,"LL",13,"LL",14,"LL"))&amp;"型"&amp;D61&amp;IF(OR(MID(D61,1,2)="透明",MID(D61,1,2)="5窓"),"、PC樹脂","")&amp;"、ｱﾙﾐAC4C相当"&amp;_xlfn.IFS(MID(D60,1,3)="防食Ⅱ","",MID(D60,5,2)="塩害","、防食：ﾀｹｺｰﾄ処理",MID(D60,5,2)="酸性","、防食：重防食処理"))</f>
        <v>S型透明キャップ、PC樹脂、ｱﾙﾐAC4C相当</v>
      </c>
      <c r="D80" s="215"/>
      <c r="E80" s="216"/>
      <c r="F80" s="217" t="str">
        <f t="shared" ref="F80:F86" si="3">"n=1"</f>
        <v>n=1</v>
      </c>
      <c r="G80" s="218"/>
      <c r="H80" s="219"/>
      <c r="I80" s="213" t="s">
        <v>13</v>
      </c>
      <c r="J80" s="220" t="str">
        <f>IF(OR(D58=0,D59="　"),"",MID(F80,3,2))</f>
        <v>1</v>
      </c>
      <c r="K80" s="214">
        <f>IFERROR(D58*J80,"")</f>
        <v>10</v>
      </c>
    </row>
    <row r="81" spans="2:11" ht="12" customHeight="1">
      <c r="B81" s="206" t="s">
        <v>5</v>
      </c>
      <c r="C81" s="207" t="str" cm="1">
        <f t="array" ref="C81">IF(OR(D58=0,D59="　"),"",IF(MID(D59,4,1)="5","G5"&amp;_xlfn.SWITCH(1*MID(LEFT(D59, LEN(D59)-1),6,2),1,"01",2,"02",3,"03",4,"04",5,"07",6,"07",7,"07",8,"09",9,"09",10,"12",11,"12",12,"12"),"G6"&amp;_xlfn.SWITCH(1*MID(LEFT(D59, LEN(D59)-1),6,2),1,"01",2,"02",3,"03",4,"04",5,"07",6,"07",7,"07",8,"09",9,"09",10,"12",11,"12",12,"12",13,"14",14,"14"))&amp;"、S45C相当"&amp;IF(MID(D61,1,3)&lt;&gt;"アルミ","、防食：無電解Niめっき",""))</f>
        <v>G504、S45C相当、防食：無電解Niめっき</v>
      </c>
      <c r="D81" s="208"/>
      <c r="E81" s="209"/>
      <c r="F81" s="217" t="str">
        <f t="shared" si="3"/>
        <v>n=1</v>
      </c>
      <c r="G81" s="218"/>
      <c r="H81" s="219"/>
      <c r="I81" s="213" t="s">
        <v>13</v>
      </c>
      <c r="J81" s="220" t="str">
        <f>IF(OR(D58=0,D59="　"),"",MID(F81,3,2))</f>
        <v>1</v>
      </c>
      <c r="K81" s="214">
        <f>IFERROR(D58*J81,"")</f>
        <v>10</v>
      </c>
    </row>
    <row r="82" spans="2:11" ht="12" customHeight="1">
      <c r="B82" s="206" t="s">
        <v>152</v>
      </c>
      <c r="C82" s="207" t="str" cm="1">
        <f t="array" ref="C82">IF(OR(D58=0,D59="　"),"",IF(MID(D59,4,1)="5","G5"&amp;_xlfn.SWITCH(1*MID(LEFT(D59, LEN(D59)-1),6,2),1,"01",2,"02",3,"03",4,"04",5,"07",6,"07",7,"07",8,"09",9,"09",10,"12",11,"12",12,"12"),"G6"&amp;_xlfn.SWITCH(1*MID(LEFT(D59, LEN(D59)-1),6,2),1,"01",2,"02",3,"03",4,"04",5,"07",6,"07",7,"07",8,"09",9,"09",10,"12",11,"12",12,"12",13,"14",14,"14"))&amp;"、S45C相当"&amp;IF(MID(D61,1,3)&lt;&gt;"アルミ","、防食：無電解Niめっき",""))</f>
        <v>G504、S45C相当、防食：無電解Niめっき</v>
      </c>
      <c r="D82" s="208"/>
      <c r="E82" s="209"/>
      <c r="F82" s="217" t="str">
        <f t="shared" si="3"/>
        <v>n=1</v>
      </c>
      <c r="G82" s="218"/>
      <c r="H82" s="219"/>
      <c r="I82" s="213" t="s">
        <v>13</v>
      </c>
      <c r="J82" s="220" t="str">
        <f>IF(OR(D58=0,D59="　"),"",MID(F82,3,2))</f>
        <v>1</v>
      </c>
      <c r="K82" s="214">
        <f>IFERROR(D58*J82,"")</f>
        <v>10</v>
      </c>
    </row>
    <row r="83" spans="2:11" ht="12" customHeight="1">
      <c r="B83" s="206" t="s">
        <v>7</v>
      </c>
      <c r="C83" s="207" t="str">
        <f>IF(OR(D58=0,D59="　"),"",IF(1*MID(D59,4,1)=5,"ECF12.7","ECF15.2")&amp;"、SCM415相当"&amp;IF(MID(D61,1,3)&lt;&gt;"アルミ","、防食：無電解Niめっき",""))</f>
        <v>ECF12.7、SCM415相当、防食：無電解Niめっき</v>
      </c>
      <c r="D83" s="208"/>
      <c r="E83" s="209"/>
      <c r="F83" s="217" t="str">
        <f t="shared" si="3"/>
        <v>n=1</v>
      </c>
      <c r="G83" s="218"/>
      <c r="H83" s="219"/>
      <c r="I83" s="213" t="s">
        <v>27</v>
      </c>
      <c r="J83" s="220" t="str">
        <f>IF(OR(D58=0,D59="　"),"",MID(F83,3,2))</f>
        <v>1</v>
      </c>
      <c r="K83" s="214">
        <f>IFERROR(D58*J83,"")</f>
        <v>10</v>
      </c>
    </row>
    <row r="84" spans="2:11" ht="12" customHeight="1">
      <c r="B84" s="206" t="s">
        <v>153</v>
      </c>
      <c r="C84" s="207" t="str" cm="1">
        <f t="array" ref="C84">IF(OR(D58=0,D59="　"),"",IF(MID(D59,4,1)="5","G5"&amp;_xlfn.SWITCH(1*MID(LEFT(D59, LEN(D59)-1),6,2),1,"01",2,"04",3,"03",4,"04",5,"07",6,"07",7,"07",8,"12",9,"12",10,"12",11,"12",12,"12"),"G6"&amp;_xlfn.SWITCH(1*MID(LEFT(D59, LEN(D59)-1),6,2),1,"01",2,"02",3,"03",4,"04",5,"07",6,"07",7,"07",8,"12",9,"12",10,"12",11,"12",12,"12",13,"14",14,"14"))&amp;"、SS400相当、防食："&amp;_xlfn.IFS(MID(D60,1,3)="防食Ⅱ","HDZT77めっき",MID(D60,5,2)="塩害","ｱﾙﾐﾅｲｽﾞ処理",MID(D60,5,2)="酸性","重防食処理"))</f>
        <v>G504、SS400相当、防食：HDZT77めっき</v>
      </c>
      <c r="D84" s="208"/>
      <c r="E84" s="209"/>
      <c r="F84" s="217" t="str">
        <f t="shared" si="3"/>
        <v>n=1</v>
      </c>
      <c r="G84" s="218"/>
      <c r="H84" s="219"/>
      <c r="I84" s="213" t="s">
        <v>16</v>
      </c>
      <c r="J84" s="220" t="str">
        <f>IF(OR(D58=0,D59="　"),"",MID(F84,3,2))</f>
        <v>1</v>
      </c>
      <c r="K84" s="214">
        <f>IFERROR(D58*J84,"")</f>
        <v>10</v>
      </c>
    </row>
    <row r="85" spans="2:11" ht="12" customHeight="1">
      <c r="B85" s="206" t="str">
        <f>IF(MID(D62,1,3)="のり面","管付","")&amp;"支圧板"</f>
        <v>管付支圧板</v>
      </c>
      <c r="C85" s="221" t="str" cm="1">
        <f t="array" ref="C85">IF(OR(D58=0,D59="　"),"","PL"&amp;IF(MID(D62,1,3)="のり面","P","")&amp;IF(MID(D59,4,1)="5","5-"&amp;_xlfn.SWITCH(1*MID(LEFT(D59, LEN(D59)-1),6,2),1,"1",2,"2",3,"3",4,"4",5,"5",6,"6",7,"7",8,"9",9,"9",10,"10",11,"11",12,"12"),"6-"&amp;_xlfn.SWITCH(1*MID(LEFT(D59, LEN(D59)-1),6,2),1,"1",2,"2",3,"3",4,"4",5,"6",6,"6",7,"7",8,"8",9,"9",10,"10",11,"11",12,"12",13,"14",14,"14"))&amp;"、SS400相当、防食："&amp;_xlfn.IFS(MID(D60,1,3)="防食Ⅱ","HDZT77めっき",MID(D60,5,2)="塩害","ｱﾙﾐﾅｲｽﾞ処理",MID(D60,5,2)="酸性","重防食処理"))</f>
        <v>PLP5-4、SS400相当、防食：HDZT77めっき</v>
      </c>
      <c r="D85" s="208"/>
      <c r="E85" s="209"/>
      <c r="F85" s="217" t="str">
        <f t="shared" si="3"/>
        <v>n=1</v>
      </c>
      <c r="G85" s="218"/>
      <c r="H85" s="219"/>
      <c r="I85" s="213" t="s">
        <v>16</v>
      </c>
      <c r="J85" s="220" t="str">
        <f>IF(OR(D58=0,D59="　"),"",MID(F85,3,2))</f>
        <v>1</v>
      </c>
      <c r="K85" s="214">
        <f>IFERROR(D58*J85,"")</f>
        <v>10</v>
      </c>
    </row>
    <row r="86" spans="2:11" ht="12" customHeight="1">
      <c r="B86" s="206" t="s">
        <v>154</v>
      </c>
      <c r="C86" s="207" t="str">
        <f>IF(OR(D58=0,D59="　"),"","G"&amp;MID(LEFT(D59, LEN(D59)-1),4,4)&amp;"、NBR45相当")</f>
        <v>G5-4、NBR45相当</v>
      </c>
      <c r="D86" s="208"/>
      <c r="E86" s="209"/>
      <c r="F86" s="217" t="str">
        <f t="shared" si="3"/>
        <v>n=1</v>
      </c>
      <c r="G86" s="218"/>
      <c r="H86" s="219"/>
      <c r="I86" s="213" t="s">
        <v>13</v>
      </c>
      <c r="J86" s="220" t="str">
        <f>IF(OR(D58=0,D59="　"),"",MID(F86,3,2))</f>
        <v>1</v>
      </c>
      <c r="K86" s="214">
        <f>IFERROR(D58*J86,"")</f>
        <v>10</v>
      </c>
    </row>
    <row r="87" spans="2:11" ht="12" customHeight="1">
      <c r="B87" s="206" t="str" cm="1">
        <f t="array" ref="B87">_xlfn.IFS(OR(D58=0,D59="　"),"",MID(D61,1,3)="アルミ","頭部防錆油",MID(D61,1,3)&lt;&gt;"アルミ","余長キャップ")</f>
        <v>余長キャップ</v>
      </c>
      <c r="C87" s="221" t="str" cm="1">
        <f t="array" ref="C87">_xlfn.IFS(OR(D58=0,D59="　"),"",MID(D61,1,3)="アルミ","PCコートC",MID(D61,1,3)&lt;&gt;"アルミ","TC"&amp;MID(D59,4,1)&amp;"、高密度ポチエチレン")</f>
        <v>TC5、高密度ポチエチレン</v>
      </c>
      <c r="D87" s="208"/>
      <c r="E87" s="209"/>
      <c r="F87" s="217" t="str" cm="1">
        <f t="array" ref="F87">_xlfn.IFS(OR(D58=0,D59="　"),"",MID(D61,1,3)="アルミ","W="&amp;IF(MID(D59,4,1)="5",_xlfn.SWITCH(1*MID(LEFT(D59, LEN(D59)-1),6,2),1,1.9,2,1.3,3,1.3,4,1.3,5,1.6,6,1.6,7,1.6,8,3.1,9,3.1,10,3.1,11,3.1,12,3.1),"G6"&amp;_xlfn.SWITCH(1*MID(LEFT(D59, LEN(D59)-1),6,2),1,1.8,2,1.3,3,1.8,4,1.8,5,3.3,6,3.3,7,3.3,8,9.9,9,9.9,10,9.9,11,9.9,12,9.9,13,9.9,14,9.9)),MID(D61,1,3)&lt;&gt;"アルミ","n=1")</f>
        <v>n=1</v>
      </c>
      <c r="G87" s="218"/>
      <c r="H87" s="219"/>
      <c r="I87" s="213" t="str" cm="1">
        <f t="array" ref="I87">_xlfn.IFS(OR(D58=0,D59="　"),"",MID(D61,1,3)="アルミ","kg",MID(D61,1,3)&lt;&gt;"アルミ","式")</f>
        <v>式</v>
      </c>
      <c r="J87" s="220" t="str">
        <f>IF(OR(D58=0,D59="　"),"",MID(F87,3,4))</f>
        <v>1</v>
      </c>
      <c r="K87" s="214">
        <f>IFERROR(D58*J87,"")</f>
        <v>10</v>
      </c>
    </row>
    <row r="88" spans="2:11" ht="12" customHeight="1">
      <c r="B88" s="206" t="s">
        <v>9</v>
      </c>
      <c r="C88" s="207" t="str" cm="1">
        <f t="array" ref="C88">IF(OR(D58=0,D59="　"),"",IF(MID(D59,4,1)="5","PS5-"&amp;_xlfn.SWITCH(1*MID(LEFT(D59, LEN(D59)-1),6,2),1,"7",2,"2",3,"3",4,"4",5,"7",6,"7",7,"7",8,"12",9,"12",10,"12",11,"12",12,"12"),"PS6-"&amp;_xlfn.SWITCH(1*MID(LEFT(D59, LEN(D59)-1),6,2),1,"7",2,"2",3,"3",4,"4",5,"7",6,"7",7,"7",8,"12",9,"12",10,"12",11,"12",12,"12",13,"14",14,"14"))&amp;"、高密度ポリエチレン")</f>
        <v>PS5-4、高密度ポリエチレン</v>
      </c>
      <c r="D88" s="208"/>
      <c r="E88" s="209"/>
      <c r="F88" s="217" t="str">
        <f>"n=2"</f>
        <v>n=2</v>
      </c>
      <c r="G88" s="218"/>
      <c r="H88" s="219"/>
      <c r="I88" s="213" t="s">
        <v>13</v>
      </c>
      <c r="J88" s="220" t="str">
        <f>IF(OR(D58=0,D59="　"),"",MID(F88,3,2))</f>
        <v>2</v>
      </c>
      <c r="K88" s="214">
        <f>IFERROR(D58*J88,"")</f>
        <v>20</v>
      </c>
    </row>
    <row r="89" spans="2:11" ht="12" customHeight="1">
      <c r="B89" s="206" t="s">
        <v>2</v>
      </c>
      <c r="C89" s="207" t="str" cm="1">
        <f t="array" ref="C89">IF(OR(D58=0,D59="　"),"",IF(MID(D59,4,1)="5","S5-"&amp;_xlfn.IFS(1*MID(LEFT(D59, LEN(D59)-1),6,2)&lt;6,"5",1*MID(LEFT(D59, LEN(D59)-1),6,2)&lt;9,"8",1*MID(LEFT(D59, LEN(D59)-1),6,2)&gt;8,"12"),"S6-"&amp;_xlfn.IFS(1*MID(LEFT(D59, LEN(D59)-1),6,2)&lt;4,"3",1*MID(LEFT(D59, LEN(D59)-1),6,2)&lt;7,"6",1*MID(LEFT(D59, LEN(D59)-1),6,2)&lt;10,"9",1*MID(LEFT(D59, LEN(D59)-1),6,2)&lt;13,"12",1*MID(LEFT(D59, LEN(D59)-1),6,2)&gt;12,"14"))&amp;"、ポリプロピレン")</f>
        <v>S5-5、ポリプロピレン</v>
      </c>
      <c r="D89" s="208"/>
      <c r="E89" s="209"/>
      <c r="F89" s="222" t="s">
        <v>155</v>
      </c>
      <c r="G89" s="211"/>
      <c r="H89" s="212"/>
      <c r="I89" s="213" t="s">
        <v>13</v>
      </c>
      <c r="J89" s="206">
        <f>IF(OR(D58=0,D59="　"),"",MROUND((D67-0.4)/1,1))</f>
        <v>4</v>
      </c>
      <c r="K89" s="214">
        <f>IFERROR(D58*J89,"")</f>
        <v>40</v>
      </c>
    </row>
    <row r="90" spans="2:11" ht="12" customHeight="1">
      <c r="B90" s="206" t="s">
        <v>1</v>
      </c>
      <c r="C90" s="207" t="str" cm="1">
        <f t="array" ref="C90">IF(OR(D58=0,D59="　"),"",IF(MID(D59,4,1)="5","PC5-"&amp;_xlfn.IFS(1*MID(LEFT(D59, LEN(D59)-1),6,2)&lt;5,"4",1*MID(LEFT(D59, LEN(D59)-1),6,2)&lt;8,"7",1*MID(LEFT(D59, LEN(D59)-1),6,2)&lt;10,"9",1*MID(LEFT(D59, LEN(D59)-1),6,2)&gt;9,"12"),"PC6-"&amp;_xlfn.IFS(1*MID(LEFT(D59, LEN(D59)-1),6,2)&lt;4,"3",1*MID(LEFT(D59, LEN(D59)-1),6,2)&lt;8,"7",1*MID(LEFT(D59, LEN(D59)-1),6,2)&lt;13,"12",1*MID(LEFT(D59, LEN(D59)-1),6,2)&gt;12,"14"))&amp;"、ポリプロピレン")</f>
        <v>PC5-4、ポリプロピレン</v>
      </c>
      <c r="D90" s="208"/>
      <c r="E90" s="209"/>
      <c r="F90" s="217" t="str">
        <f>"n=1"</f>
        <v>n=1</v>
      </c>
      <c r="G90" s="218"/>
      <c r="H90" s="219"/>
      <c r="I90" s="213" t="s">
        <v>13</v>
      </c>
      <c r="J90" s="220" t="str">
        <f>IF(OR(D58=0,D59="　"),"",MID(F90,3,2))</f>
        <v>1</v>
      </c>
      <c r="K90" s="214">
        <f>IFERROR(D58*J90,"")</f>
        <v>10</v>
      </c>
    </row>
    <row r="91" spans="2:11" ht="12" customHeight="1">
      <c r="B91" s="206" t="s">
        <v>3</v>
      </c>
      <c r="C91" s="207" t="str">
        <f>IF(OR(D58=0,D59="　"),"","66ナイロン")</f>
        <v>66ナイロン</v>
      </c>
      <c r="D91" s="208"/>
      <c r="E91" s="209"/>
      <c r="F91" s="222" t="s">
        <v>156</v>
      </c>
      <c r="G91" s="211"/>
      <c r="H91" s="212"/>
      <c r="I91" s="213" t="s">
        <v>14</v>
      </c>
      <c r="J91" s="206">
        <f>IF(OR(D58=0,D59="　"),"",2*J89)</f>
        <v>8</v>
      </c>
      <c r="K91" s="214">
        <f>IFERROR(D58*J91,"")</f>
        <v>80</v>
      </c>
    </row>
    <row r="92" spans="2:11" ht="12" customHeight="1">
      <c r="B92" s="206" t="s">
        <v>4</v>
      </c>
      <c r="C92" s="207" t="str">
        <f>IF(OR(D58=0,D59="　"),"","フィラメントテープ")</f>
        <v>フィラメントテープ</v>
      </c>
      <c r="D92" s="208"/>
      <c r="E92" s="209"/>
      <c r="F92" s="222" t="str">
        <f>IF(OR(D58=0,D59="　"),"","L=((自由長+緊張部長)÷@1.0m)×テープ係数"&amp;IF(MID(D59,4,1)="5",_xlfn.IFS(1*MID(LEFT(D59, LEN(D59)-1),6,2)&lt;4,"0.8",1*MID(LEFT(D59, LEN(D59)-1),6,2)&lt;7,"1.0",1*MID(LEFT(D59, LEN(D59)-1),6,2)&lt;10,"1.2",1*MID(LEFT(D59, LEN(D59)-1),6,2)&lt;13,"1.4"),_xlfn.IFS(1*MID(LEFT(D59, LEN(D59)-1),6,2)&lt;4,"1.0",1*MID(LEFT(D59, LEN(D59)-1),6,2)&lt;7,"1.2",1*MID(LEFT(D59, LEN(D59)-1),6,2)&lt;10,"1.4",1*MID(LEFT(D59, LEN(D59)-1),6,2)&lt;15,"1.8")))</f>
        <v>L=((自由長+緊張部長)÷@1.0m)×テープ係数1.0</v>
      </c>
      <c r="G92" s="211"/>
      <c r="H92" s="212"/>
      <c r="I92" s="213" t="s">
        <v>12</v>
      </c>
      <c r="J92" s="223">
        <f>IF(OR(D58=0,D59="　"),"",MROUND((SUM(D68,D69))/1*RIGHT(F92, 3),0.1))</f>
        <v>5.5</v>
      </c>
      <c r="K92" s="214">
        <f>IFERROR(D58*J92,"")</f>
        <v>55</v>
      </c>
    </row>
    <row r="93" spans="2:11" ht="12" customHeight="1">
      <c r="B93" s="206" t="s">
        <v>0</v>
      </c>
      <c r="C93" s="207" t="str">
        <f>IF(OR(D58=0,D59="　"),"","16/20、高密度ポリエチレン")</f>
        <v>16/20、高密度ポリエチレン</v>
      </c>
      <c r="D93" s="208"/>
      <c r="E93" s="209"/>
      <c r="F93" s="210" t="s">
        <v>33</v>
      </c>
      <c r="G93" s="211"/>
      <c r="H93" s="212"/>
      <c r="I93" s="213" t="s">
        <v>12</v>
      </c>
      <c r="J93" s="214">
        <f>IF(OR(D58=0,D59="　"),"",MROUND(D71,0.1))</f>
        <v>9.7000000000000011</v>
      </c>
      <c r="K93" s="214">
        <f>IFERROR(D58*J93,"")</f>
        <v>97.000000000000014</v>
      </c>
    </row>
    <row r="94" spans="2:11" ht="12" customHeight="1">
      <c r="B94" s="206" t="str" cm="1">
        <f t="array" ref="B94">_xlfn.IFS(OR(D58=0,D59="　",MID(D62,1,2)="なし",MID(D62,1,3)="受圧体"),"",MID(D62,1,3)="のり面","のり面角度台座",MID(D62,1,3)="構造物","構造物壁面台座",MID(D62,1,3)="土留め","土留め台座")</f>
        <v>のり面角度台座</v>
      </c>
      <c r="C94" s="210" t="str" cm="1">
        <f t="array" ref="C94">IF(OR(D58=0,D59="　",MID(D62,1,2)="なし",MID(D62,1,3)="受圧体"),"",_xlfn.IFS(MID(D62,1,3)="のり面",IF(1*MID(D59,4,1)=5,_xlfn.IFS(1*MID(LEFT(D59, LEN(D59)-1),6,2)&lt;5,"ST140",1*MID(LEFT(D59, LEN(D59)-1),6,2)&lt;8,"ST170",1*MID(LEFT(D59, LEN(D59)-1),6,2)&lt;13,"ST220"),_xlfn.IFS(1*MID(LEFT(D59, LEN(D59)-1),6,2)&lt;4,"ST140",1*MID(LEFT(D59, LEN(D59)-1),6,2)&lt;5,"ST170",1*MID(LEFT(D59, LEN(D59)-1),6,2)&lt;8,"ST220",1*MID(LEFT(D59, LEN(D59)-1),6,2)&lt;15,"非該当"))&amp;"、FCD450相当、防食："&amp;_xlfn.IFS(MID(D60,1,3)="防食Ⅱ","HDZT77めっき",MID(D60,5,2)="塩害","ｱﾙﾐﾅｲｽﾞ処理",MID(D60,5,2)="酸性","重防食処理"),OR(MID(D62,1,3)="構造物",MID(D62,1,3)="土留め"),D59&amp;"用"&amp;IF(OR(MID(D62,1,3)="構造物",D63="　"),"",D63)&amp;"、防食："&amp;_xlfn.IFS(MID(D60,1,3)="防食Ⅱ","HDZT77めっき",MID(D60,5,2)="塩害","ｱﾙﾐﾅｲｽﾞ処理",MID(D60,5,2)="酸性","重防食処理")))</f>
        <v>ST140、FCD450相当、防食：HDZT77めっき</v>
      </c>
      <c r="D94" s="208"/>
      <c r="E94" s="209"/>
      <c r="F94" s="217" t="str">
        <f>IF(OR(D62="なし",D62="受圧体のみ"),"","n=1")</f>
        <v>n=1</v>
      </c>
      <c r="G94" s="218"/>
      <c r="H94" s="219"/>
      <c r="I94" s="213" t="str">
        <f>IF(OR(D58=0,D59="　",B94=""),"","台")</f>
        <v>台</v>
      </c>
      <c r="J94" s="220" t="str">
        <f>IF(OR(D58=0,D59="　"),"",MID(F94,3,2))</f>
        <v>1</v>
      </c>
      <c r="K94" s="214">
        <f>IFERROR(D58*J94,"")</f>
        <v>10</v>
      </c>
    </row>
    <row r="95" spans="2:11" ht="12" customHeight="1">
      <c r="B95" s="206" t="str">
        <f>IF(OR(D58=0,D59="　",MID(D62,1,3)&lt;&gt;"のり面"),"","補剛板")</f>
        <v>補剛板</v>
      </c>
      <c r="C95" s="210" t="str" cm="1">
        <f t="array" ref="C95">IF(OR(D58=0,D59="　",MID(D62,1,3)&lt;&gt;"のり面"),"",IF(MID(D59,4,1)="5","□"&amp;_xlfn.SWITCH(1*MID(LEFT(D59, LEN(D59)-1),6,2),1,"210φ131t12",2,"210φ131t12",3,"240φ131t12",4,"270φ131t12",5,"280φ143t12",6,"310φ143t16",7,"350φ143t19",8,"350φ180t19",9,"350φ180t19",10,"350φ180t19",11,"350φ180t22",12,"350φ180t22"),"□"&amp;_xlfn.SWITCH(1*MID(LEFT(D59, LEN(D59)-1),6,2),1,"210,φ131,t12",2,"240,φ131,t12",3,"270,φ131,t16",4,"300,φ143,t16",5,"350,φ180,t16",6,"350,φ180,t16",7,"350,φ180,t19",8,"400,φ──,t12",9,"400,φ──,t12",10,"400,φ──,t12",11,"400,φ──,t12",12,"400,φ──,t12",13,"400,φ──,t12",14,"400,φ──,t12"))&amp;"、SS400相当、防食："&amp;_xlfn.IFS(MID(D60,1,3)="防食Ⅱ","HDZT77めっき",MID(D60,5,2)="塩害","ｱﾙﾐﾅｲｽﾞ処理",MID(D60,5,2)="酸性","重防食処理"))</f>
        <v>□270φ131t12、SS400相当、防食：HDZT77めっき</v>
      </c>
      <c r="D95" s="208"/>
      <c r="E95" s="209"/>
      <c r="F95" s="217" t="str">
        <f>IF(OR(D58=0,D59="　",MID(D62,1,3)&lt;&gt;"のり面"),"","n=1")</f>
        <v>n=1</v>
      </c>
      <c r="G95" s="218"/>
      <c r="H95" s="219"/>
      <c r="I95" s="213" t="str">
        <f>IF(OR(D58=0,D59="　",B95="",MID(D62,1,3)&lt;&gt;"のり面"),"","枚")</f>
        <v>枚</v>
      </c>
      <c r="J95" s="220" t="str">
        <f>IF(OR(D58=0,D59="　"),"",MID(F95,3,2))</f>
        <v>1</v>
      </c>
      <c r="K95" s="214">
        <f>IFERROR(D58*J95,"")</f>
        <v>10</v>
      </c>
    </row>
    <row r="96" spans="2:11" ht="12" customHeight="1">
      <c r="B96" s="206" t="str" cm="1">
        <f t="array" ref="B96">_xlfn.IFS(OR(D58=0,D59="　"),"",MID(D61,1,3)="アルミ","",MID(D61,1,3)&lt;&gt;"アルミ","テンドン補修用塗料")</f>
        <v>テンドン補修用塗料</v>
      </c>
      <c r="C96" s="210" t="str" cm="1">
        <f t="array" ref="C96">_xlfn.IFS(OR(D58=0,D59="　"),"",MID(D61,1,3)="アルミ","",MID(D61,1,3)&lt;&gt;"アルミ","エポキシ樹脂")</f>
        <v>エポキシ樹脂</v>
      </c>
      <c r="D96" s="208"/>
      <c r="E96" s="209"/>
      <c r="F96" s="217" t="str" cm="1">
        <f t="array" ref="F96">_xlfn.IFS(OR(D58=0,D59="　"),"",MID(D61,1,3)="アルミ","",MID(D61,1,3)&lt;&gt;"アルミ","W=PC鋼より線本数×"&amp;IF(MID(D59,4,1)="5","0.28","0.40"))</f>
        <v>W=PC鋼より線本数×0.28</v>
      </c>
      <c r="G96" s="218"/>
      <c r="H96" s="219"/>
      <c r="I96" s="213" t="str" cm="1">
        <f t="array" ref="I96">_xlfn.IFS(OR(D58=0,D59="　"),"",MID(D61,1,3)="アルミ","",MID(D61,1,3)&lt;&gt;"アルミ","g")</f>
        <v>g</v>
      </c>
      <c r="J96" s="224" cm="1">
        <f t="array" ref="J96">_xlfn.IFS(OR(D58=0,D59="　"),"",MID(D61,1,3)="アルミ","",MID(D61,1,3)&lt;&gt;"アルミ",MID(LEFT(D59, LEN(D59)-1),6,2)*IF(MID(D59,4,1)="5",0.28,0.4))</f>
        <v>1.1200000000000001</v>
      </c>
      <c r="K96" s="214">
        <f>IFERROR(D58*J96,"")</f>
        <v>11.200000000000001</v>
      </c>
    </row>
    <row r="97" spans="2:13" ht="12" customHeight="1">
      <c r="B97" s="206" t="str" cm="1">
        <f t="array" ref="B97">_xlfn.IFS(OR(D58=0,D59="　"),"",MID(D61,1,3)="アルミ","",MID(D61,1,3)&lt;&gt;"アルミ","長期防錆スプレー")</f>
        <v>長期防錆スプレー</v>
      </c>
      <c r="C97" s="210" t="str" cm="1">
        <f t="array" ref="C97">_xlfn.IFS(OR(D58=0,D59="　"),"",MID(D61,1,3)="アルミ","",MID(D61,1,3)&lt;&gt;"アルミ","防錆オイル")</f>
        <v>防錆オイル</v>
      </c>
      <c r="D97" s="208"/>
      <c r="E97" s="209"/>
      <c r="F97" s="217" t="str" cm="1">
        <f t="array" ref="F97">_xlfn.IFS(OR(D58=0,D59="　"),"",MID(D61,1,3)="アルミ","",MID(D61,1,3)&lt;&gt;"アルミ","n=0.01×(PC鋼より線本数+"&amp;IF(MID(D59,4,1)="5","6","12")&amp;")")</f>
        <v>n=0.01×(PC鋼より線本数+6)</v>
      </c>
      <c r="G97" s="218"/>
      <c r="H97" s="219"/>
      <c r="I97" s="213" t="str" cm="1">
        <f t="array" ref="I97">_xlfn.IFS(OR(D58=0,D59="　"),"",MID(D61,1,3)="アルミ","",MID(D61,1,3)&lt;&gt;"アルミ","缶")</f>
        <v>缶</v>
      </c>
      <c r="J97" s="224" cm="1">
        <f t="array" ref="J97">_xlfn.IFS(OR(D58=0,D59="　"),"",MID(D61,1,3)="アルミ","",MID(D61,1,3)&lt;&gt;"アルミ",0.01*(MID(LEFT(D59, LEN(D59)-1),6,2)+IF(MID(D59,4,1)="5",6,12)))</f>
        <v>0.1</v>
      </c>
      <c r="K97" s="214">
        <f>IFERROR(D58*J97,"")</f>
        <v>1</v>
      </c>
    </row>
    <row r="98" spans="2:13" ht="12" customHeight="1">
      <c r="B98" s="206" t="str">
        <f>IF(OR(D58=0,D59="　",D64="なし"),"","フリーパッカー注入ホース")</f>
        <v/>
      </c>
      <c r="C98" s="207" t="str">
        <f>IF(OR(D58=0,D59="　",B98=""),"","16/20、高密度ポリエチレン")</f>
        <v/>
      </c>
      <c r="D98" s="208"/>
      <c r="E98" s="209"/>
      <c r="F98" s="210" t="str">
        <f>IF(B98="","","L=自由長+緊張部長")</f>
        <v/>
      </c>
      <c r="G98" s="211"/>
      <c r="H98" s="212"/>
      <c r="I98" s="213" t="str">
        <f>IF(OR(D58=0,D59="　",B98=""),"","m")</f>
        <v/>
      </c>
      <c r="J98" s="214" t="str">
        <f>IF(OR(D58=0,D59="　"),"",IF(B98="","",MROUND(D68+D69,0.1)))</f>
        <v/>
      </c>
      <c r="K98" s="214" t="str">
        <f>IFERROR(D58*J98,"")</f>
        <v/>
      </c>
    </row>
    <row r="99" spans="2:13" ht="12" customHeight="1">
      <c r="B99" s="225" t="str">
        <f>IF(OR(D58=0,D59="　",D64="なし"),"","フリーパッカー")</f>
        <v/>
      </c>
      <c r="C99" s="217" t="str" cm="1">
        <f t="array" ref="C99">IF(OR(D58=0,D59="　",B98=""),"",_xlfn.SWITCH(D73,90,"PA-170",115,"PA-200",135,"PA-240",146,"PA-240",165,"PA-350")&amp;"、織布")</f>
        <v/>
      </c>
      <c r="D99" s="208"/>
      <c r="E99" s="209"/>
      <c r="F99" s="226" t="str">
        <f>IF(B99="","","L=自由長+0.5m")</f>
        <v/>
      </c>
      <c r="G99" s="227"/>
      <c r="H99" s="228"/>
      <c r="I99" s="213" t="str">
        <f>IF(OR(D59=0,D60="　",B99=""),"","m")</f>
        <v/>
      </c>
      <c r="J99" s="214" t="str">
        <f>IF(OR(D58=0,D59="　"),"",IF(B99="","",MROUND(D68+0.5,0.1)))</f>
        <v/>
      </c>
      <c r="K99" s="214" t="str">
        <f>IFERROR(D58*J99,"")</f>
        <v/>
      </c>
    </row>
    <row r="100" spans="2:13" ht="12" customHeight="1">
      <c r="B100" s="206" t="str">
        <f>IF(OR(D58=0,D59="　",D64="なし"),"","パッカー取付加工")</f>
        <v/>
      </c>
      <c r="C100" s="207"/>
      <c r="D100" s="208"/>
      <c r="E100" s="209"/>
      <c r="F100" s="217" t="str">
        <f>IF(B100="","","n=1")</f>
        <v/>
      </c>
      <c r="G100" s="218"/>
      <c r="H100" s="219"/>
      <c r="I100" s="213" t="str">
        <f>IF(OR(D60=0,D61="　",B100=""),"","式")</f>
        <v/>
      </c>
      <c r="J100" s="220" t="str">
        <f>IF(OR(D58=0,D59="　"),"",MID(F100,3,2))</f>
        <v/>
      </c>
      <c r="K100" s="206" t="str">
        <f>IFERROR(D58*J100,"")</f>
        <v/>
      </c>
    </row>
    <row r="101" spans="2:13" ht="12" customHeight="1">
      <c r="B101" s="229"/>
      <c r="C101" s="230"/>
      <c r="D101" s="231"/>
      <c r="E101" s="232"/>
      <c r="F101" s="233"/>
      <c r="G101" s="234"/>
      <c r="H101" s="235"/>
      <c r="I101" s="236"/>
      <c r="J101" s="237"/>
      <c r="K101" s="229"/>
    </row>
    <row r="102" spans="2:13" ht="12" customHeight="1">
      <c r="B102" s="238" t="s">
        <v>30</v>
      </c>
      <c r="C102" s="239" t="s">
        <v>31</v>
      </c>
      <c r="D102" s="240"/>
      <c r="E102" s="241"/>
      <c r="F102" s="242" t="s">
        <v>157</v>
      </c>
      <c r="G102" s="243"/>
      <c r="H102" s="244"/>
      <c r="I102" s="245" t="s">
        <v>55</v>
      </c>
      <c r="J102" s="246">
        <f>IFERROR(MROUND(0.25*PI()*(0.001*D73)^2*(D66+D67+D72)*(1+2.2),0.01),"")</f>
        <v>0.17</v>
      </c>
      <c r="K102" s="246">
        <f>IFERROR(D58*J102,"")</f>
        <v>1.7000000000000002</v>
      </c>
    </row>
    <row r="104" spans="2:13" ht="12" customHeight="1">
      <c r="B104" s="247" t="s">
        <v>136</v>
      </c>
      <c r="C104" s="247"/>
      <c r="D104" s="247"/>
      <c r="F104" s="163"/>
      <c r="G104" s="164"/>
      <c r="H104" s="164"/>
    </row>
    <row r="105" spans="2:13" ht="12" customHeight="1">
      <c r="B105" s="15" t="s">
        <v>111</v>
      </c>
      <c r="C105" s="15"/>
      <c r="D105" s="1"/>
      <c r="E105" s="1"/>
      <c r="H105" s="119"/>
      <c r="J105" s="118"/>
    </row>
    <row r="106" spans="2:13" ht="12" customHeight="1">
      <c r="B106" s="165" t="s">
        <v>161</v>
      </c>
      <c r="C106" s="3"/>
      <c r="D106" s="1"/>
      <c r="E106" s="1"/>
      <c r="F106" s="8"/>
      <c r="G106" s="8"/>
      <c r="H106" s="102"/>
      <c r="I106" s="28"/>
      <c r="J106" s="118"/>
    </row>
    <row r="107" spans="2:13" ht="12" customHeight="1">
      <c r="B107" s="15" t="s">
        <v>40</v>
      </c>
      <c r="C107" s="3"/>
      <c r="D107" s="1"/>
      <c r="E107" s="1"/>
      <c r="F107" s="15" t="s">
        <v>54</v>
      </c>
      <c r="G107" s="15"/>
      <c r="H107" s="102"/>
      <c r="I107" s="28"/>
    </row>
    <row r="108" spans="2:13" ht="12" customHeight="1">
      <c r="B108" s="2" t="s">
        <v>53</v>
      </c>
      <c r="C108" s="2" t="s">
        <v>21</v>
      </c>
      <c r="D108" s="2" t="s">
        <v>22</v>
      </c>
      <c r="E108" s="17"/>
      <c r="F108" s="49" t="s">
        <v>41</v>
      </c>
      <c r="G108" s="97" t="s">
        <v>59</v>
      </c>
      <c r="H108" s="49" t="s">
        <v>44</v>
      </c>
      <c r="I108" s="2" t="s">
        <v>21</v>
      </c>
      <c r="J108" s="49" t="s">
        <v>138</v>
      </c>
      <c r="K108" s="2" t="s">
        <v>28</v>
      </c>
    </row>
    <row r="109" spans="2:13" ht="12" customHeight="1">
      <c r="B109" s="166" t="s">
        <v>25</v>
      </c>
      <c r="C109" s="18" t="s">
        <v>24</v>
      </c>
      <c r="D109" s="167">
        <v>10</v>
      </c>
      <c r="E109" s="19"/>
      <c r="F109" s="168" t="s">
        <v>43</v>
      </c>
      <c r="G109" s="169" t="s">
        <v>113</v>
      </c>
      <c r="H109" s="88" t="str" cm="1">
        <f t="array" ref="H109">_xlfn.IFS(AND(F109&lt;&gt;"非削孔",F109&lt;&gt;"無設定"),D124,F109="非削孔",IF(MID(D113,1,3)="土留め","非削孔","箱抜き"),F109="無設定","無設定")</f>
        <v>箱抜き</v>
      </c>
      <c r="I109" s="23" t="str">
        <f>IF(F109="無設定","","m")</f>
        <v>m</v>
      </c>
      <c r="J109" s="170">
        <v>0.5</v>
      </c>
      <c r="K109" s="30">
        <f>D109*J109</f>
        <v>5</v>
      </c>
    </row>
    <row r="110" spans="2:13" ht="12" customHeight="1">
      <c r="B110" s="171" t="s">
        <v>37</v>
      </c>
      <c r="C110" s="50" t="s">
        <v>38</v>
      </c>
      <c r="D110" s="172" t="s">
        <v>159</v>
      </c>
      <c r="E110" s="173"/>
      <c r="F110" s="174" t="s">
        <v>49</v>
      </c>
      <c r="G110" s="169" t="s">
        <v>114</v>
      </c>
      <c r="H110" s="88" cm="1">
        <f t="array" ref="H110">_xlfn.IFS(AND(F110&lt;&gt;"非削孔",F110&lt;&gt;"無設定"),D124,F110="非削孔","箱抜き",F110="無設定","無設定")</f>
        <v>90</v>
      </c>
      <c r="I110" s="23" t="str">
        <f t="shared" ref="I110:I118" si="4">IF(F110="無設定","","m")</f>
        <v>m</v>
      </c>
      <c r="J110" s="170">
        <v>2.64</v>
      </c>
      <c r="K110" s="30">
        <f>D109*J110</f>
        <v>26.400000000000002</v>
      </c>
    </row>
    <row r="111" spans="2:13" ht="12" customHeight="1">
      <c r="B111" s="52" t="s">
        <v>39</v>
      </c>
      <c r="C111" s="91" t="s">
        <v>38</v>
      </c>
      <c r="D111" s="175" t="s">
        <v>60</v>
      </c>
      <c r="E111" s="140"/>
      <c r="F111" s="174" t="s">
        <v>49</v>
      </c>
      <c r="G111" s="169" t="s">
        <v>115</v>
      </c>
      <c r="H111" s="88" cm="1">
        <f t="array" ref="H111">_xlfn.IFS(AND(F111&lt;&gt;"非削孔",F111&lt;&gt;"無設定"),D124,F111="非削孔","箱抜き",F111="無設定","無設定")</f>
        <v>90</v>
      </c>
      <c r="I111" s="23" t="str">
        <f t="shared" si="4"/>
        <v>m</v>
      </c>
      <c r="J111" s="170">
        <v>5.36</v>
      </c>
      <c r="K111" s="30">
        <f>D109*J111</f>
        <v>53.6</v>
      </c>
    </row>
    <row r="112" spans="2:13" ht="12" customHeight="1">
      <c r="B112" s="147" t="s">
        <v>140</v>
      </c>
      <c r="C112" s="91" t="s">
        <v>38</v>
      </c>
      <c r="D112" s="176" t="s">
        <v>141</v>
      </c>
      <c r="E112" s="141"/>
      <c r="F112" s="174" t="s">
        <v>48</v>
      </c>
      <c r="G112" s="169"/>
      <c r="H112" s="88" t="str" cm="1">
        <f t="array" ref="H112">_xlfn.IFS(AND(F112&lt;&gt;"非削孔",F112&lt;&gt;"無設定"),D124,F112="非削孔","箱抜き",F112="無設定","無設定")</f>
        <v>無設定</v>
      </c>
      <c r="I112" s="23" t="str">
        <f t="shared" si="4"/>
        <v/>
      </c>
      <c r="J112" s="170">
        <v>0</v>
      </c>
      <c r="K112" s="30">
        <f>D109*J112</f>
        <v>0</v>
      </c>
      <c r="M112" s="112"/>
    </row>
    <row r="113" spans="2:13" ht="12" customHeight="1">
      <c r="B113" s="147" t="s">
        <v>142</v>
      </c>
      <c r="C113" s="91" t="s">
        <v>38</v>
      </c>
      <c r="D113" s="177" t="s">
        <v>160</v>
      </c>
      <c r="E113" s="21"/>
      <c r="F113" s="174" t="s">
        <v>48</v>
      </c>
      <c r="G113" s="169"/>
      <c r="H113" s="88" t="str" cm="1">
        <f t="array" ref="H113">_xlfn.IFS(AND(F113&lt;&gt;"非削孔",F113&lt;&gt;"無設定"),D124,F113="非削孔","箱抜き",F113="無設定","無設定")</f>
        <v>無設定</v>
      </c>
      <c r="I113" s="23" t="str">
        <f t="shared" si="4"/>
        <v/>
      </c>
      <c r="J113" s="170">
        <v>0</v>
      </c>
      <c r="K113" s="30">
        <f>D109*J113</f>
        <v>0</v>
      </c>
    </row>
    <row r="114" spans="2:13" ht="12" customHeight="1">
      <c r="B114" s="114" t="str">
        <f>IF(MID(D113,1,3)="土留め",D113&amp;"の種類","")</f>
        <v/>
      </c>
      <c r="C114" s="91" t="s">
        <v>38</v>
      </c>
      <c r="D114" s="178" t="s">
        <v>71</v>
      </c>
      <c r="E114" s="21"/>
      <c r="F114" s="174" t="s">
        <v>48</v>
      </c>
      <c r="G114" s="169"/>
      <c r="H114" s="88" t="str" cm="1">
        <f t="array" ref="H114">_xlfn.IFS(AND(F114&lt;&gt;"非削孔",F114&lt;&gt;"無設定"),D124,F114="非削孔","箱抜き",F114="無設定","無設定")</f>
        <v>無設定</v>
      </c>
      <c r="I114" s="23" t="str">
        <f t="shared" si="4"/>
        <v/>
      </c>
      <c r="J114" s="170">
        <v>0</v>
      </c>
      <c r="K114" s="30">
        <f>D109*J114</f>
        <v>0</v>
      </c>
    </row>
    <row r="115" spans="2:13" ht="12" customHeight="1">
      <c r="B115" s="179" t="s">
        <v>50</v>
      </c>
      <c r="C115" s="180" t="s">
        <v>38</v>
      </c>
      <c r="D115" s="181" t="s">
        <v>51</v>
      </c>
      <c r="E115" s="182"/>
      <c r="F115" s="174" t="s">
        <v>48</v>
      </c>
      <c r="G115" s="169"/>
      <c r="H115" s="88" t="str" cm="1">
        <f t="array" ref="H115">_xlfn.IFS(AND(F115&lt;&gt;"非削孔",F115&lt;&gt;"無設定"),D124,F115="非削孔","箱抜き",F115="無設定","無設定")</f>
        <v>無設定</v>
      </c>
      <c r="I115" s="23" t="str">
        <f t="shared" si="4"/>
        <v/>
      </c>
      <c r="J115" s="170">
        <v>0</v>
      </c>
      <c r="K115" s="30">
        <f>D109*J115</f>
        <v>0</v>
      </c>
    </row>
    <row r="116" spans="2:13" ht="12" customHeight="1">
      <c r="B116" s="160" t="str" cm="1">
        <f t="array" ref="B116">"頭部自由長"&amp;_xlfn.IFS(MID(D113,1,2)="なし","",MID(D113,1,3)="受圧体","(受圧体)",MID(D113,1,3)="のり面","(角度台座＋受圧体)",MID(D113,1,3)="構造物","(壁面台座)",MID(D113,1,3)="土留め","(台座+腹起し)")&amp;"　Lfh"</f>
        <v>頭部自由長(角度台座＋受圧体)　Lfh</v>
      </c>
      <c r="C116" s="155" t="s">
        <v>23</v>
      </c>
      <c r="D116" s="183">
        <v>0.5</v>
      </c>
      <c r="E116" s="21"/>
      <c r="F116" s="174" t="s">
        <v>144</v>
      </c>
      <c r="G116" s="169"/>
      <c r="H116" s="88" cm="1">
        <f t="array" ref="H116">_xlfn.IFS(AND(F116&lt;&gt;"非削孔",F116&lt;&gt;"無設定"),D124,F116="非削孔","箱抜き",F116="無設定","無設定")</f>
        <v>90</v>
      </c>
      <c r="I116" s="23" t="str">
        <f t="shared" si="4"/>
        <v>m</v>
      </c>
      <c r="J116" s="170">
        <v>0</v>
      </c>
      <c r="K116" s="30">
        <f>D109*J116</f>
        <v>0</v>
      </c>
    </row>
    <row r="117" spans="2:13" ht="12" customHeight="1">
      <c r="B117" s="22" t="s">
        <v>108</v>
      </c>
      <c r="C117" s="23" t="s">
        <v>23</v>
      </c>
      <c r="D117" s="184">
        <v>4</v>
      </c>
      <c r="E117" s="21"/>
      <c r="F117" s="174" t="s">
        <v>48</v>
      </c>
      <c r="G117" s="169"/>
      <c r="H117" s="88" t="str" cm="1">
        <f t="array" ref="H117">_xlfn.IFS(AND(F117&lt;&gt;"非削孔",F117&lt;&gt;"無設定"),D124,F117="非削孔","箱抜き",F117="無設定","無設定")</f>
        <v>無設定</v>
      </c>
      <c r="I117" s="23" t="str">
        <f t="shared" si="4"/>
        <v/>
      </c>
      <c r="J117" s="170">
        <v>0</v>
      </c>
      <c r="K117" s="30">
        <f>D109*J117</f>
        <v>0</v>
      </c>
    </row>
    <row r="118" spans="2:13" ht="12" customHeight="1">
      <c r="B118" s="157" t="s">
        <v>36</v>
      </c>
      <c r="C118" s="158" t="s">
        <v>23</v>
      </c>
      <c r="D118" s="185">
        <v>4</v>
      </c>
      <c r="F118" s="186" t="str" cm="1">
        <f t="array" ref="F118">INDEX(F109:H117,MATCH("無設定",F109:F117,0)-1,MATCH(F108,F108:H108,0))</f>
        <v>軟　岩</v>
      </c>
      <c r="G118" s="100" t="str" cm="1">
        <f t="array" ref="G118">INDEX(F109:H117,MATCH("無設定",F109:F117,0)-1,MATCH(G108,F108:H108,0))&amp;"　(先端長 L2d)"</f>
        <v>風化岩 CL　(先端長 L2d)</v>
      </c>
      <c r="H118" s="88" cm="1">
        <f t="array" ref="H118">INDEX(F109:H117,MATCH("無設定",F109:F117,0)-1,MATCH(H108,F108:H108,0))</f>
        <v>90</v>
      </c>
      <c r="I118" s="23" t="str">
        <f t="shared" si="4"/>
        <v>m</v>
      </c>
      <c r="J118" s="98">
        <f>D123</f>
        <v>0.25</v>
      </c>
      <c r="K118" s="78">
        <f>IFERROR(D109*J118,"")</f>
        <v>2.5</v>
      </c>
    </row>
    <row r="119" spans="2:13" ht="12" customHeight="1">
      <c r="B119" s="154" t="s">
        <v>145</v>
      </c>
      <c r="C119" s="155" t="s">
        <v>23</v>
      </c>
      <c r="D119" s="187">
        <f>IF(OR(D109=0,D110="　"),"──",SUM(D116:D117))</f>
        <v>4.5</v>
      </c>
      <c r="E119" s="19"/>
      <c r="F119" s="188"/>
      <c r="G119" s="75" t="s">
        <v>124</v>
      </c>
      <c r="H119" s="103"/>
      <c r="I119" s="18" t="s">
        <v>23</v>
      </c>
      <c r="J119" s="74">
        <f>SUMIFS(J109:J118,F109:F118,"&lt;&gt;非削孔",F109:F118,"&lt;&gt;無設定")</f>
        <v>8.25</v>
      </c>
      <c r="K119" s="95">
        <f>SUMIFS(K109:K118,F109:F118,"&lt;&gt;非削孔",F109:F118,"&lt;&gt;無設定")</f>
        <v>82.5</v>
      </c>
    </row>
    <row r="120" spans="2:13" ht="12" customHeight="1">
      <c r="B120" s="146" t="s">
        <v>146</v>
      </c>
      <c r="C120" s="23" t="s">
        <v>23</v>
      </c>
      <c r="D120" s="189" cm="1">
        <f t="array" ref="D120">IF(OR(D109=0,D110="　"),"──",IF(MID(D110,4,1)="5",_xlfn.IFS(1*MID(LEFT(D110, LEN(D110)-1),6,2)&lt;8,1,1*MID(LEFT(D110, LEN(D110)-1),6,2)&lt;13,1.2),_xlfn.IFS(1*MID(LEFT(D110, LEN(D110)-1),6,2)&lt;6,1,1*MID(LEFT(D110, LEN(D110)-1),6,2)&lt;15,1.2)))</f>
        <v>1</v>
      </c>
      <c r="E120" s="19"/>
      <c r="F120" s="190"/>
      <c r="G120" s="76" t="s">
        <v>47</v>
      </c>
      <c r="H120" s="104"/>
      <c r="I120" s="79" t="s">
        <v>46</v>
      </c>
      <c r="J120" s="77" t="str">
        <f>IF(OR(D109=0,D110="　"),"",IF(SUM(D117:D118,D123)=J119,"OK","NG"))</f>
        <v>OK</v>
      </c>
      <c r="K120" s="145" t="str">
        <f>IF(J120&lt;&gt;"NG","──",J119-SUM(D117:D118,D123))</f>
        <v>──</v>
      </c>
      <c r="M120" s="144"/>
    </row>
    <row r="121" spans="2:13" ht="12" customHeight="1">
      <c r="B121" s="22" t="s">
        <v>125</v>
      </c>
      <c r="C121" s="23" t="s">
        <v>35</v>
      </c>
      <c r="D121" s="84">
        <f>IF(OR(D109=0,D110="　"),"──",0.2)</f>
        <v>0.2</v>
      </c>
      <c r="F121" s="191" t="s">
        <v>58</v>
      </c>
      <c r="G121" s="248" t="s">
        <v>110</v>
      </c>
      <c r="H121" s="249"/>
      <c r="I121" s="249"/>
      <c r="J121" s="249"/>
      <c r="K121" s="250"/>
    </row>
    <row r="122" spans="2:13" ht="12" customHeight="1">
      <c r="B122" s="6" t="s">
        <v>147</v>
      </c>
      <c r="C122" s="23" t="s">
        <v>23</v>
      </c>
      <c r="D122" s="60">
        <f>IF(OR(D109=0,D110="　"),"──",SUM(D118:D121))</f>
        <v>9.6999999999999993</v>
      </c>
    </row>
    <row r="123" spans="2:13" ht="12" customHeight="1">
      <c r="B123" s="25" t="s">
        <v>127</v>
      </c>
      <c r="C123" s="26" t="s">
        <v>23</v>
      </c>
      <c r="D123" s="27">
        <f>IF(OR(D109=0,D110="　"),"──",0.25)</f>
        <v>0.25</v>
      </c>
      <c r="F123" s="8"/>
      <c r="G123" s="8"/>
      <c r="H123" s="102"/>
    </row>
    <row r="124" spans="2:13" ht="12" customHeight="1">
      <c r="B124" s="95" t="s">
        <v>123</v>
      </c>
      <c r="C124" s="18" t="s">
        <v>32</v>
      </c>
      <c r="D124" s="192">
        <v>90</v>
      </c>
      <c r="E124" s="193" t="str">
        <f>IF(D124&lt;D125,"NG：削孔径不適合","")</f>
        <v/>
      </c>
      <c r="F124" s="8"/>
      <c r="G124" s="8"/>
      <c r="H124" s="102"/>
    </row>
    <row r="125" spans="2:13" ht="12" customHeight="1">
      <c r="B125" s="25" t="s">
        <v>122</v>
      </c>
      <c r="C125" s="26" t="s">
        <v>32</v>
      </c>
      <c r="D125" s="194" cm="1">
        <f t="array" ref="D125">IF(OR(D109=0,D110="　"),"──",IF(D115="なし",IF(MID(D110,4,1)="5",_xlfn.IFS(1*MID(LEFT(D110, LEN(D110)-1),6,2)&lt;6,90,1*MID(LEFT(D110, LEN(D110)-1),6,2)&lt;9,115,1*MID(LEFT(D110, LEN(D110)-1),6,2)&gt;8,135),_xlfn.IFS(1*MID(LEFT(D110, LEN(D110)-1),6,2)&lt;4,90,1*MID(LEFT(D110, LEN(D110)-1),6,2)&lt;7,115,1*MID(LEFT(D110, LEN(D110)-1),6,2)&lt;10,135,1*MID(LEFT(D110, LEN(D110)-1),6,2)&lt;13,146,1*MID(LEFT(D110, LEN(D110)-1),6,2)&gt;12,165)),IF(MID(D110,4,1)="5",_xlfn.IFS(1*MID(LEFT(D110, LEN(D110)-1),6,2)&lt;3,90,1*MID(LEFT(D110, LEN(D110)-1),6,2)&lt;7,115,1*MID(LEFT(D110, LEN(D110)-1),6,2)&lt;9,135,1*MID(LEFT(D110, LEN(D110)-1),6,2)&gt;8,146),_xlfn.IFS(1*MID(LEFT(D110, LEN(D110)-1),6,2)&lt;3,90,1*MID(LEFT(D110, LEN(D110)-1),6,2)&lt;4,115,1*MID(LEFT(D110, LEN(D110)-1),6,2)&lt;6,135,1*MID(LEFT(D110, LEN(D110)-1),6,2)&lt;10,146,1*MID(LEFT(D110, LEN(D110)-1),6,2)&lt;13,165,1*MID(LEFT(D110, LEN(D110)-1),6,2)&gt;12,216))))</f>
        <v>90</v>
      </c>
      <c r="E125" s="195"/>
      <c r="F125" s="8"/>
      <c r="G125" s="8"/>
      <c r="H125" s="102"/>
    </row>
    <row r="126" spans="2:13" ht="12" customHeight="1">
      <c r="B126" s="20"/>
      <c r="C126" s="46"/>
      <c r="D126" s="117"/>
      <c r="F126" s="8"/>
      <c r="G126" s="8"/>
      <c r="H126" s="102"/>
    </row>
    <row r="127" spans="2:13" ht="12" customHeight="1">
      <c r="B127" s="15" t="str">
        <f>"■"&amp;MID(B104,2,14)</f>
        <v>■本設：EHDアンカーHP工法</v>
      </c>
      <c r="C127" s="3"/>
      <c r="D127" s="1"/>
      <c r="E127" s="1"/>
      <c r="F127" s="8"/>
      <c r="G127" s="8"/>
      <c r="H127" s="102"/>
    </row>
    <row r="128" spans="2:13" ht="12" customHeight="1">
      <c r="B128" s="2" t="s">
        <v>17</v>
      </c>
      <c r="C128" s="43"/>
      <c r="D128" s="196" t="s">
        <v>148</v>
      </c>
      <c r="E128" s="135"/>
      <c r="F128" s="16"/>
      <c r="G128" s="61" t="s">
        <v>42</v>
      </c>
      <c r="H128" s="97"/>
      <c r="I128" s="2" t="s">
        <v>21</v>
      </c>
      <c r="J128" s="49" t="s">
        <v>149</v>
      </c>
      <c r="K128" s="2" t="s">
        <v>28</v>
      </c>
    </row>
    <row r="129" spans="2:12" ht="12" customHeight="1">
      <c r="B129" s="197" t="s">
        <v>150</v>
      </c>
      <c r="C129" s="198" t="str">
        <f>IF(OR(D109=0,D110="　"),"",D110&amp;" ("&amp;MID(LEFT(D110, LEN(D110)-1),6,2)&amp;IF(MID(D110,4,1)="5","φ12.7","φ15.2")&amp;")")</f>
        <v>EHD5-4H (4φ12.7)</v>
      </c>
      <c r="D129" s="199"/>
      <c r="E129" s="200"/>
      <c r="F129" s="201" t="str">
        <f>"W=テンドン長×PC鋼より線本数×"&amp;IF(MID(D110,4,1)="5","0.774","1.101")&amp;"kg/m"</f>
        <v>W=テンドン長×PC鋼より線本数×0.774kg/m</v>
      </c>
      <c r="G129" s="202"/>
      <c r="H129" s="203"/>
      <c r="I129" s="204" t="s">
        <v>11</v>
      </c>
      <c r="J129" s="205">
        <f>IF(OR(D109=0,D110="　"),"",MROUND(D122*MID(LEFT(D110, LEN(D110)-1),6,2)*IF(MID(D110,4,1)="5","0.774","1.101"),0.01))</f>
        <v>30.03</v>
      </c>
      <c r="K129" s="205">
        <f>IFERROR(D109*J129,"")</f>
        <v>300.3</v>
      </c>
      <c r="L129" s="13"/>
    </row>
    <row r="130" spans="2:12" ht="12" customHeight="1">
      <c r="B130" s="206" t="s">
        <v>151</v>
      </c>
      <c r="C130" s="207"/>
      <c r="D130" s="208"/>
      <c r="E130" s="209"/>
      <c r="F130" s="210" t="s">
        <v>33</v>
      </c>
      <c r="G130" s="211"/>
      <c r="H130" s="212"/>
      <c r="I130" s="213" t="s">
        <v>12</v>
      </c>
      <c r="J130" s="214">
        <f>IF(OR(D109=0,D110="　"),"",MROUND(D122,0.1))</f>
        <v>9.7000000000000011</v>
      </c>
      <c r="K130" s="214">
        <f>IFERROR(D109*J130,"")</f>
        <v>97.000000000000014</v>
      </c>
    </row>
    <row r="131" spans="2:12" ht="12" customHeight="1">
      <c r="B131" s="206" t="str">
        <f>"頭部キャップ"</f>
        <v>頭部キャップ</v>
      </c>
      <c r="C131" s="207" t="str" cm="1">
        <f t="array" ref="C131">IF(OR(D109=0,D110="　"),"",IF(MID(D110,4,1)="5",_xlfn.SWITCH(1*MID(LEFT(D110, LEN(D110)-1),6,2),1,"S",2,"S",3,"S",4,"S",5,"M",6,"M",7,"M",8,"L",9,"L",10,"L",11,"L",12,"L"),_xlfn.SWITCH(1*MID(LEFT(D110, LEN(D110)-1),6,2),1,"S",2,"S",3,"M",4,"M",5,"L",6,"L",7,"L",8,"LL",9,"LL",10,"LL",11,"LL",12,"LL",13,"LL",14,"LL"))&amp;"型"&amp;D112&amp;IF(OR(MID(D112,1,2)="透明",MID(D112,1,2)="5窓"),"、PC樹脂","")&amp;"、ｱﾙﾐAC4C相当"&amp;_xlfn.IFS(MID(D111,1,3)="防食Ⅱ","",MID(D111,5,2)="塩害","、防食：ﾀｹｺｰﾄ処理",MID(D111,5,2)="酸性","、防食：重防食処理"))</f>
        <v>S型透明キャップ、PC樹脂、ｱﾙﾐAC4C相当</v>
      </c>
      <c r="D131" s="215"/>
      <c r="E131" s="216"/>
      <c r="F131" s="217" t="str">
        <f t="shared" ref="F131:F137" si="5">"n=1"</f>
        <v>n=1</v>
      </c>
      <c r="G131" s="218"/>
      <c r="H131" s="219"/>
      <c r="I131" s="213" t="s">
        <v>13</v>
      </c>
      <c r="J131" s="220" t="str">
        <f>IF(OR(D109=0,D110="　"),"",MID(F131,3,2))</f>
        <v>1</v>
      </c>
      <c r="K131" s="214">
        <f>IFERROR(D109*J131,"")</f>
        <v>10</v>
      </c>
    </row>
    <row r="132" spans="2:12" ht="12" customHeight="1">
      <c r="B132" s="206" t="s">
        <v>5</v>
      </c>
      <c r="C132" s="207" t="str" cm="1">
        <f t="array" ref="C132">IF(OR(D109=0,D110="　"),"",IF(MID(D110,4,1)="5","G5"&amp;_xlfn.SWITCH(1*MID(LEFT(D110, LEN(D110)-1),6,2),1,"01",2,"02",3,"03",4,"04",5,"07",6,"07",7,"07",8,"09",9,"09",10,"12",11,"12",12,"12"),"G6"&amp;_xlfn.SWITCH(1*MID(LEFT(D110, LEN(D110)-1),6,2),1,"01",2,"02",3,"03",4,"04",5,"07",6,"07",7,"07",8,"09",9,"09",10,"12",11,"12",12,"12",13,"14",14,"14"))&amp;"、S45C相当"&amp;IF(MID(D112,1,3)&lt;&gt;"アルミ","、防食：無電解Niめっき",""))</f>
        <v>G504、S45C相当、防食：無電解Niめっき</v>
      </c>
      <c r="D132" s="208"/>
      <c r="E132" s="209"/>
      <c r="F132" s="217" t="str">
        <f t="shared" si="5"/>
        <v>n=1</v>
      </c>
      <c r="G132" s="218"/>
      <c r="H132" s="219"/>
      <c r="I132" s="213" t="s">
        <v>13</v>
      </c>
      <c r="J132" s="220" t="str">
        <f>IF(OR(D109=0,D110="　"),"",MID(F132,3,2))</f>
        <v>1</v>
      </c>
      <c r="K132" s="214">
        <f>IFERROR(D109*J132,"")</f>
        <v>10</v>
      </c>
    </row>
    <row r="133" spans="2:12" ht="12" customHeight="1">
      <c r="B133" s="206" t="s">
        <v>152</v>
      </c>
      <c r="C133" s="207" t="str" cm="1">
        <f t="array" ref="C133">IF(OR(D109=0,D110="　"),"",IF(MID(D110,4,1)="5","G5"&amp;_xlfn.SWITCH(1*MID(LEFT(D110, LEN(D110)-1),6,2),1,"01",2,"02",3,"03",4,"04",5,"07",6,"07",7,"07",8,"09",9,"09",10,"12",11,"12",12,"12"),"G6"&amp;_xlfn.SWITCH(1*MID(LEFT(D110, LEN(D110)-1),6,2),1,"01",2,"02",3,"03",4,"04",5,"07",6,"07",7,"07",8,"09",9,"09",10,"12",11,"12",12,"12",13,"14",14,"14"))&amp;"、S45C相当"&amp;IF(MID(D112,1,3)&lt;&gt;"アルミ","、防食：無電解Niめっき",""))</f>
        <v>G504、S45C相当、防食：無電解Niめっき</v>
      </c>
      <c r="D133" s="208"/>
      <c r="E133" s="209"/>
      <c r="F133" s="217" t="str">
        <f t="shared" si="5"/>
        <v>n=1</v>
      </c>
      <c r="G133" s="218"/>
      <c r="H133" s="219"/>
      <c r="I133" s="213" t="s">
        <v>13</v>
      </c>
      <c r="J133" s="220" t="str">
        <f>IF(OR(D109=0,D110="　"),"",MID(F133,3,2))</f>
        <v>1</v>
      </c>
      <c r="K133" s="214">
        <f>IFERROR(D109*J133,"")</f>
        <v>10</v>
      </c>
    </row>
    <row r="134" spans="2:12" ht="12" customHeight="1">
      <c r="B134" s="206" t="s">
        <v>7</v>
      </c>
      <c r="C134" s="207" t="str">
        <f>IF(OR(D109=0,D110="　"),"",IF(1*MID(D110,4,1)=5,"ECF12.7","ECF15.2")&amp;"、SCM415相当"&amp;IF(MID(D112,1,3)&lt;&gt;"アルミ","、防食：無電解Niめっき",""))</f>
        <v>ECF12.7、SCM415相当、防食：無電解Niめっき</v>
      </c>
      <c r="D134" s="208"/>
      <c r="E134" s="209"/>
      <c r="F134" s="217" t="str">
        <f t="shared" si="5"/>
        <v>n=1</v>
      </c>
      <c r="G134" s="218"/>
      <c r="H134" s="219"/>
      <c r="I134" s="213" t="s">
        <v>27</v>
      </c>
      <c r="J134" s="220" t="str">
        <f>IF(OR(D109=0,D110="　"),"",MID(F134,3,2))</f>
        <v>1</v>
      </c>
      <c r="K134" s="214">
        <f>IFERROR(D109*J134,"")</f>
        <v>10</v>
      </c>
    </row>
    <row r="135" spans="2:12" ht="12" customHeight="1">
      <c r="B135" s="206" t="s">
        <v>153</v>
      </c>
      <c r="C135" s="207" t="str" cm="1">
        <f t="array" ref="C135">IF(OR(D109=0,D110="　"),"",IF(MID(D110,4,1)="5","G5"&amp;_xlfn.SWITCH(1*MID(LEFT(D110, LEN(D110)-1),6,2),1,"01",2,"04",3,"03",4,"04",5,"07",6,"07",7,"07",8,"12",9,"12",10,"12",11,"12",12,"12"),"G6"&amp;_xlfn.SWITCH(1*MID(LEFT(D110, LEN(D110)-1),6,2),1,"01",2,"02",3,"03",4,"04",5,"07",6,"07",7,"07",8,"12",9,"12",10,"12",11,"12",12,"12",13,"14",14,"14"))&amp;"、SS400相当、防食："&amp;_xlfn.IFS(MID(D111,1,3)="防食Ⅱ","HDZT77めっき",MID(D111,5,2)="塩害","ｱﾙﾐﾅｲｽﾞ処理",MID(D111,5,2)="酸性","重防食処理"))</f>
        <v>G504、SS400相当、防食：HDZT77めっき</v>
      </c>
      <c r="D135" s="208"/>
      <c r="E135" s="209"/>
      <c r="F135" s="217" t="str">
        <f t="shared" si="5"/>
        <v>n=1</v>
      </c>
      <c r="G135" s="218"/>
      <c r="H135" s="219"/>
      <c r="I135" s="213" t="s">
        <v>16</v>
      </c>
      <c r="J135" s="220" t="str">
        <f>IF(OR(D109=0,D110="　"),"",MID(F135,3,2))</f>
        <v>1</v>
      </c>
      <c r="K135" s="214">
        <f>IFERROR(D109*J135,"")</f>
        <v>10</v>
      </c>
    </row>
    <row r="136" spans="2:12" ht="12" customHeight="1">
      <c r="B136" s="206" t="str">
        <f>IF(MID(D113,1,3)="のり面","管付","")&amp;"支圧板"</f>
        <v>管付支圧板</v>
      </c>
      <c r="C136" s="221" t="str" cm="1">
        <f t="array" ref="C136">IF(OR(D109=0,D110="　"),"","PL"&amp;IF(MID(D113,1,3)="のり面","P","")&amp;IF(MID(D110,4,1)="5","5-"&amp;_xlfn.SWITCH(1*MID(LEFT(D110, LEN(D110)-1),6,2),1,"1",2,"2",3,"3",4,"4",5,"5",6,"6",7,"7",8,"9",9,"9",10,"10",11,"11",12,"12"),"6-"&amp;_xlfn.SWITCH(1*MID(LEFT(D110, LEN(D110)-1),6,2),1,"1",2,"2",3,"3",4,"4",5,"6",6,"6",7,"7",8,"8",9,"9",10,"10",11,"11",12,"12",13,"14",14,"14"))&amp;"、SS400相当、防食："&amp;_xlfn.IFS(MID(D111,1,3)="防食Ⅱ","HDZT77めっき",MID(D111,5,2)="塩害","ｱﾙﾐﾅｲｽﾞ処理",MID(D111,5,2)="酸性","重防食処理"))</f>
        <v>PLP5-4、SS400相当、防食：HDZT77めっき</v>
      </c>
      <c r="D136" s="208"/>
      <c r="E136" s="209"/>
      <c r="F136" s="217" t="str">
        <f t="shared" si="5"/>
        <v>n=1</v>
      </c>
      <c r="G136" s="218"/>
      <c r="H136" s="219"/>
      <c r="I136" s="213" t="s">
        <v>16</v>
      </c>
      <c r="J136" s="220" t="str">
        <f>IF(OR(D109=0,D110="　"),"",MID(F136,3,2))</f>
        <v>1</v>
      </c>
      <c r="K136" s="214">
        <f>IFERROR(D109*J136,"")</f>
        <v>10</v>
      </c>
    </row>
    <row r="137" spans="2:12" ht="12" customHeight="1">
      <c r="B137" s="206" t="s">
        <v>154</v>
      </c>
      <c r="C137" s="207" t="str">
        <f>IF(OR(D109=0,D110="　"),"","G"&amp;MID(LEFT(D110, LEN(D110)-1),4,4)&amp;"、NBR45相当")</f>
        <v>G5-4、NBR45相当</v>
      </c>
      <c r="D137" s="208"/>
      <c r="E137" s="209"/>
      <c r="F137" s="217" t="str">
        <f t="shared" si="5"/>
        <v>n=1</v>
      </c>
      <c r="G137" s="218"/>
      <c r="H137" s="219"/>
      <c r="I137" s="213" t="s">
        <v>13</v>
      </c>
      <c r="J137" s="220" t="str">
        <f>IF(OR(D109=0,D110="　"),"",MID(F137,3,2))</f>
        <v>1</v>
      </c>
      <c r="K137" s="214">
        <f>IFERROR(D109*J137,"")</f>
        <v>10</v>
      </c>
    </row>
    <row r="138" spans="2:12" ht="12" customHeight="1">
      <c r="B138" s="206" t="str" cm="1">
        <f t="array" ref="B138">_xlfn.IFS(OR(D109=0,D110="　"),"",MID(D112,1,3)="アルミ","頭部防錆油",MID(D112,1,3)&lt;&gt;"アルミ","余長キャップ")</f>
        <v>余長キャップ</v>
      </c>
      <c r="C138" s="221" t="str" cm="1">
        <f t="array" ref="C138">_xlfn.IFS(OR(D109=0,D110="　"),"",MID(D112,1,3)="アルミ","PCコートC",MID(D112,1,3)&lt;&gt;"アルミ","TC"&amp;MID(D110,4,1)&amp;"、高密度ポチエチレン")</f>
        <v>TC5、高密度ポチエチレン</v>
      </c>
      <c r="D138" s="208"/>
      <c r="E138" s="209"/>
      <c r="F138" s="217" t="str" cm="1">
        <f t="array" ref="F138">_xlfn.IFS(OR(D109=0,D110="　"),"",MID(D112,1,3)="アルミ","W="&amp;IF(MID(D110,4,1)="5",_xlfn.SWITCH(1*MID(LEFT(D110, LEN(D110)-1),6,2),1,1.9,2,1.3,3,1.3,4,1.3,5,1.6,6,1.6,7,1.6,8,3.1,9,3.1,10,3.1,11,3.1,12,3.1),"G6"&amp;_xlfn.SWITCH(1*MID(LEFT(D110, LEN(D110)-1),6,2),1,1.8,2,1.3,3,1.8,4,1.8,5,3.3,6,3.3,7,3.3,8,9.9,9,9.9,10,9.9,11,9.9,12,9.9,13,9.9,14,9.9)),MID(D112,1,3)&lt;&gt;"アルミ","n=1")</f>
        <v>n=1</v>
      </c>
      <c r="G138" s="218"/>
      <c r="H138" s="219"/>
      <c r="I138" s="213" t="str" cm="1">
        <f t="array" ref="I138">_xlfn.IFS(OR(D109=0,D110="　"),"",MID(D112,1,3)="アルミ","kg",MID(D112,1,3)&lt;&gt;"アルミ","式")</f>
        <v>式</v>
      </c>
      <c r="J138" s="220" t="str">
        <f>IF(OR(D109=0,D110="　"),"",MID(F138,3,4))</f>
        <v>1</v>
      </c>
      <c r="K138" s="214">
        <f>IFERROR(D109*J138,"")</f>
        <v>10</v>
      </c>
    </row>
    <row r="139" spans="2:12" ht="12" customHeight="1">
      <c r="B139" s="206" t="s">
        <v>9</v>
      </c>
      <c r="C139" s="207" t="str" cm="1">
        <f t="array" ref="C139">IF(OR(D109=0,D110="　"),"",IF(MID(D110,4,1)="5","PS5-"&amp;_xlfn.SWITCH(1*MID(LEFT(D110, LEN(D110)-1),6,2),1,"7",2,"2",3,"3",4,"4",5,"7",6,"7",7,"7",8,"12",9,"12",10,"12",11,"12",12,"12"),"PS6-"&amp;_xlfn.SWITCH(1*MID(LEFT(D110, LEN(D110)-1),6,2),1,"7",2,"2",3,"3",4,"4",5,"7",6,"7",7,"7",8,"12",9,"12",10,"12",11,"12",12,"12",13,"14",14,"14"))&amp;"、高密度ポリエチレン")</f>
        <v>PS5-4、高密度ポリエチレン</v>
      </c>
      <c r="D139" s="208"/>
      <c r="E139" s="209"/>
      <c r="F139" s="217" t="str">
        <f>"n=2"</f>
        <v>n=2</v>
      </c>
      <c r="G139" s="218"/>
      <c r="H139" s="219"/>
      <c r="I139" s="213" t="s">
        <v>13</v>
      </c>
      <c r="J139" s="220" t="str">
        <f>IF(OR(D109=0,D110="　"),"",MID(F139,3,2))</f>
        <v>2</v>
      </c>
      <c r="K139" s="214">
        <f>IFERROR(D109*J139,"")</f>
        <v>20</v>
      </c>
    </row>
    <row r="140" spans="2:12" ht="12" customHeight="1">
      <c r="B140" s="206" t="s">
        <v>2</v>
      </c>
      <c r="C140" s="207" t="str" cm="1">
        <f t="array" ref="C140">IF(OR(D109=0,D110="　"),"",IF(MID(D110,4,1)="5","S5-"&amp;_xlfn.IFS(1*MID(LEFT(D110, LEN(D110)-1),6,2)&lt;6,"5",1*MID(LEFT(D110, LEN(D110)-1),6,2)&lt;9,"8",1*MID(LEFT(D110, LEN(D110)-1),6,2)&gt;8,"12"),"S6-"&amp;_xlfn.IFS(1*MID(LEFT(D110, LEN(D110)-1),6,2)&lt;4,"3",1*MID(LEFT(D110, LEN(D110)-1),6,2)&lt;7,"6",1*MID(LEFT(D110, LEN(D110)-1),6,2)&lt;10,"9",1*MID(LEFT(D110, LEN(D110)-1),6,2)&lt;13,"12",1*MID(LEFT(D110, LEN(D110)-1),6,2)&gt;12,"14"))&amp;"、ポリプロピレン")</f>
        <v>S5-5、ポリプロピレン</v>
      </c>
      <c r="D140" s="208"/>
      <c r="E140" s="209"/>
      <c r="F140" s="222" t="s">
        <v>155</v>
      </c>
      <c r="G140" s="211"/>
      <c r="H140" s="212"/>
      <c r="I140" s="213" t="s">
        <v>13</v>
      </c>
      <c r="J140" s="206">
        <f>IF(OR(D109=0,D110="　"),"",MROUND((D118-0.4)/1,1))</f>
        <v>4</v>
      </c>
      <c r="K140" s="214">
        <f>IFERROR(D109*J140,"")</f>
        <v>40</v>
      </c>
    </row>
    <row r="141" spans="2:12" ht="12" customHeight="1">
      <c r="B141" s="206" t="s">
        <v>1</v>
      </c>
      <c r="C141" s="207" t="str" cm="1">
        <f t="array" ref="C141">IF(OR(D109=0,D110="　"),"",IF(MID(D110,4,1)="5","PC5-"&amp;_xlfn.IFS(1*MID(LEFT(D110, LEN(D110)-1),6,2)&lt;5,"4",1*MID(LEFT(D110, LEN(D110)-1),6,2)&lt;8,"7",1*MID(LEFT(D110, LEN(D110)-1),6,2)&lt;10,"9",1*MID(LEFT(D110, LEN(D110)-1),6,2)&gt;9,"12"),"PC6-"&amp;_xlfn.IFS(1*MID(LEFT(D110, LEN(D110)-1),6,2)&lt;4,"3",1*MID(LEFT(D110, LEN(D110)-1),6,2)&lt;8,"7",1*MID(LEFT(D110, LEN(D110)-1),6,2)&lt;13,"12",1*MID(LEFT(D110, LEN(D110)-1),6,2)&gt;12,"14"))&amp;"、ポリプロピレン")</f>
        <v>PC5-4、ポリプロピレン</v>
      </c>
      <c r="D141" s="208"/>
      <c r="E141" s="209"/>
      <c r="F141" s="217" t="str">
        <f>"n=1"</f>
        <v>n=1</v>
      </c>
      <c r="G141" s="218"/>
      <c r="H141" s="219"/>
      <c r="I141" s="213" t="s">
        <v>13</v>
      </c>
      <c r="J141" s="220" t="str">
        <f>IF(OR(D109=0,D110="　"),"",MID(F141,3,2))</f>
        <v>1</v>
      </c>
      <c r="K141" s="214">
        <f>IFERROR(D109*J141,"")</f>
        <v>10</v>
      </c>
    </row>
    <row r="142" spans="2:12" ht="12" customHeight="1">
      <c r="B142" s="206" t="s">
        <v>3</v>
      </c>
      <c r="C142" s="207" t="str">
        <f>IF(OR(D109=0,D110="　"),"","66ナイロン")</f>
        <v>66ナイロン</v>
      </c>
      <c r="D142" s="208"/>
      <c r="E142" s="209"/>
      <c r="F142" s="222" t="s">
        <v>156</v>
      </c>
      <c r="G142" s="211"/>
      <c r="H142" s="212"/>
      <c r="I142" s="213" t="s">
        <v>14</v>
      </c>
      <c r="J142" s="206">
        <f>IF(OR(D109=0,D110="　"),"",2*J140)</f>
        <v>8</v>
      </c>
      <c r="K142" s="214">
        <f>IFERROR(D109*J142,"")</f>
        <v>80</v>
      </c>
    </row>
    <row r="143" spans="2:12" ht="12" customHeight="1">
      <c r="B143" s="206" t="s">
        <v>4</v>
      </c>
      <c r="C143" s="207" t="str">
        <f>IF(OR(D109=0,D110="　"),"","フィラメントテープ")</f>
        <v>フィラメントテープ</v>
      </c>
      <c r="D143" s="208"/>
      <c r="E143" s="209"/>
      <c r="F143" s="222" t="str">
        <f>IF(OR(D109=0,D110="　"),"","L=((自由長+緊張部長)÷@1.0m)×テープ係数"&amp;IF(MID(D110,4,1)="5",_xlfn.IFS(1*MID(LEFT(D110, LEN(D110)-1),6,2)&lt;4,"0.8",1*MID(LEFT(D110, LEN(D110)-1),6,2)&lt;7,"1.0",1*MID(LEFT(D110, LEN(D110)-1),6,2)&lt;10,"1.2",1*MID(LEFT(D110, LEN(D110)-1),6,2)&lt;13,"1.4"),_xlfn.IFS(1*MID(LEFT(D110, LEN(D110)-1),6,2)&lt;4,"1.0",1*MID(LEFT(D110, LEN(D110)-1),6,2)&lt;7,"1.2",1*MID(LEFT(D110, LEN(D110)-1),6,2)&lt;10,"1.4",1*MID(LEFT(D110, LEN(D110)-1),6,2)&lt;15,"1.8")))</f>
        <v>L=((自由長+緊張部長)÷@1.0m)×テープ係数1.0</v>
      </c>
      <c r="G143" s="211"/>
      <c r="H143" s="212"/>
      <c r="I143" s="213" t="s">
        <v>12</v>
      </c>
      <c r="J143" s="223">
        <f>IF(OR(D109=0,D110="　"),"",MROUND((SUM(D119,D120))/1*RIGHT(F143, 3),0.1))</f>
        <v>5.5</v>
      </c>
      <c r="K143" s="214">
        <f>IFERROR(D109*J143,"")</f>
        <v>55</v>
      </c>
    </row>
    <row r="144" spans="2:12" ht="12" customHeight="1">
      <c r="B144" s="206" t="s">
        <v>0</v>
      </c>
      <c r="C144" s="207" t="str">
        <f>IF(OR(D109=0,D110="　"),"","16/20、高密度ポリエチレン")</f>
        <v>16/20、高密度ポリエチレン</v>
      </c>
      <c r="D144" s="208"/>
      <c r="E144" s="209"/>
      <c r="F144" s="210" t="s">
        <v>33</v>
      </c>
      <c r="G144" s="211"/>
      <c r="H144" s="212"/>
      <c r="I144" s="213" t="s">
        <v>12</v>
      </c>
      <c r="J144" s="214">
        <f>IF(OR(D109=0,D110="　"),"",MROUND(D122,0.1))</f>
        <v>9.7000000000000011</v>
      </c>
      <c r="K144" s="214">
        <f>IFERROR(D109*J144,"")</f>
        <v>97.000000000000014</v>
      </c>
    </row>
    <row r="145" spans="2:11" ht="12" customHeight="1">
      <c r="B145" s="206" t="str" cm="1">
        <f t="array" ref="B145">_xlfn.IFS(OR(D109=0,D110="　",MID(D113,1,2)="なし",MID(D113,1,3)="受圧体"),"",MID(D113,1,3)="のり面","のり面角度台座",MID(D113,1,3)="構造物","構造物壁面台座",MID(D113,1,3)="土留め","土留め台座")</f>
        <v>のり面角度台座</v>
      </c>
      <c r="C145" s="210" t="str" cm="1">
        <f t="array" ref="C145">IF(OR(D109=0,D110="　",MID(D113,1,2)="なし",MID(D113,1,3)="受圧体"),"",_xlfn.IFS(MID(D113,1,3)="のり面",IF(1*MID(D110,4,1)=5,_xlfn.IFS(1*MID(LEFT(D110, LEN(D110)-1),6,2)&lt;5,"ST140",1*MID(LEFT(D110, LEN(D110)-1),6,2)&lt;8,"ST170",1*MID(LEFT(D110, LEN(D110)-1),6,2)&lt;13,"ST220"),_xlfn.IFS(1*MID(LEFT(D110, LEN(D110)-1),6,2)&lt;4,"ST140",1*MID(LEFT(D110, LEN(D110)-1),6,2)&lt;5,"ST170",1*MID(LEFT(D110, LEN(D110)-1),6,2)&lt;8,"ST220",1*MID(LEFT(D110, LEN(D110)-1),6,2)&lt;15,"非該当"))&amp;"、FCD450相当、防食："&amp;_xlfn.IFS(MID(D111,1,3)="防食Ⅱ","HDZT77めっき",MID(D111,5,2)="塩害","ｱﾙﾐﾅｲｽﾞ処理",MID(D111,5,2)="酸性","重防食処理"),OR(MID(D113,1,3)="構造物",MID(D113,1,3)="土留め"),D110&amp;"用"&amp;IF(OR(MID(D113,1,3)="構造物",D114="　"),"",D114)&amp;"、防食："&amp;_xlfn.IFS(MID(D111,1,3)="防食Ⅱ","HDZT77めっき",MID(D111,5,2)="塩害","ｱﾙﾐﾅｲｽﾞ処理",MID(D111,5,2)="酸性","重防食処理")))</f>
        <v>ST140、FCD450相当、防食：HDZT77めっき</v>
      </c>
      <c r="D145" s="208"/>
      <c r="E145" s="209"/>
      <c r="F145" s="217" t="str">
        <f>IF(OR(D113="なし",D113="受圧体のみ"),"","n=1")</f>
        <v>n=1</v>
      </c>
      <c r="G145" s="218"/>
      <c r="H145" s="219"/>
      <c r="I145" s="213" t="str">
        <f>IF(OR(D109=0,D110="　",B145=""),"","台")</f>
        <v>台</v>
      </c>
      <c r="J145" s="220" t="str">
        <f>IF(OR(D109=0,D110="　"),"",MID(F145,3,2))</f>
        <v>1</v>
      </c>
      <c r="K145" s="214">
        <f>IFERROR(D109*J145,"")</f>
        <v>10</v>
      </c>
    </row>
    <row r="146" spans="2:11" ht="12" customHeight="1">
      <c r="B146" s="206" t="str">
        <f>IF(OR(D109=0,D110="　",MID(D113,1,3)&lt;&gt;"のり面"),"","補剛板")</f>
        <v>補剛板</v>
      </c>
      <c r="C146" s="210" t="str" cm="1">
        <f t="array" ref="C146">IF(OR(D109=0,D110="　",MID(D113,1,3)&lt;&gt;"のり面"),"",IF(MID(D110,4,1)="5","□"&amp;_xlfn.SWITCH(1*MID(LEFT(D110, LEN(D110)-1),6,2),1,"210φ131t12",2,"210φ131t12",3,"240φ131t12",4,"270φ131t12",5,"280φ143t12",6,"310φ143t16",7,"350φ143t19",8,"350φ180t19",9,"350φ180t19",10,"350φ180t19",11,"350φ180t22",12,"350φ180t22"),"□"&amp;_xlfn.SWITCH(1*MID(LEFT(D110, LEN(D110)-1),6,2),1,"210,φ131,t12",2,"240,φ131,t12",3,"270,φ131,t16",4,"300,φ143,t16",5,"350,φ180,t16",6,"350,φ180,t16",7,"350,φ180,t19",8,"400,φ──,t12",9,"400,φ──,t12",10,"400,φ──,t12",11,"400,φ──,t12",12,"400,φ──,t12",13,"400,φ──,t12",14,"400,φ──,t12"))&amp;"、SS400相当、防食："&amp;_xlfn.IFS(MID(D111,1,3)="防食Ⅱ","HDZT77めっき",MID(D111,5,2)="塩害","ｱﾙﾐﾅｲｽﾞ処理",MID(D111,5,2)="酸性","重防食処理"))</f>
        <v>□270φ131t12、SS400相当、防食：HDZT77めっき</v>
      </c>
      <c r="D146" s="208"/>
      <c r="E146" s="209"/>
      <c r="F146" s="217" t="str">
        <f>IF(OR(D109=0,D110="　",MID(D113,1,3)&lt;&gt;"のり面"),"","n=1")</f>
        <v>n=1</v>
      </c>
      <c r="G146" s="218"/>
      <c r="H146" s="219"/>
      <c r="I146" s="213" t="str">
        <f>IF(OR(D109=0,D110="　",B146="",MID(D113,1,3)&lt;&gt;"のり面"),"","枚")</f>
        <v>枚</v>
      </c>
      <c r="J146" s="220" t="str">
        <f>IF(OR(D109=0,D110="　"),"",MID(F146,3,2))</f>
        <v>1</v>
      </c>
      <c r="K146" s="214">
        <f>IFERROR(D109*J146,"")</f>
        <v>10</v>
      </c>
    </row>
    <row r="147" spans="2:11" ht="12" customHeight="1">
      <c r="B147" s="206" t="str" cm="1">
        <f t="array" ref="B147">_xlfn.IFS(OR(D109=0,D110="　"),"",MID(D112,1,3)="アルミ","",MID(D112,1,3)&lt;&gt;"アルミ","テンドン補修用塗料")</f>
        <v>テンドン補修用塗料</v>
      </c>
      <c r="C147" s="210" t="str" cm="1">
        <f t="array" ref="C147">_xlfn.IFS(OR(D109=0,D110="　"),"",MID(D112,1,3)="アルミ","",MID(D112,1,3)&lt;&gt;"アルミ","エポキシ樹脂")</f>
        <v>エポキシ樹脂</v>
      </c>
      <c r="D147" s="208"/>
      <c r="E147" s="209"/>
      <c r="F147" s="217" t="str" cm="1">
        <f t="array" ref="F147">_xlfn.IFS(OR(D109=0,D110="　"),"",MID(D112,1,3)="アルミ","",MID(D112,1,3)&lt;&gt;"アルミ","W=PC鋼より線本数×"&amp;IF(MID(D110,4,1)="5","0.28","0.40"))</f>
        <v>W=PC鋼より線本数×0.28</v>
      </c>
      <c r="G147" s="218"/>
      <c r="H147" s="219"/>
      <c r="I147" s="213" t="str" cm="1">
        <f t="array" ref="I147">_xlfn.IFS(OR(D109=0,D110="　"),"",MID(D112,1,3)="アルミ","",MID(D112,1,3)&lt;&gt;"アルミ","g")</f>
        <v>g</v>
      </c>
      <c r="J147" s="224" cm="1">
        <f t="array" ref="J147">_xlfn.IFS(OR(D109=0,D110="　"),"",MID(D112,1,3)="アルミ","",MID(D112,1,3)&lt;&gt;"アルミ",MID(LEFT(D110, LEN(D110)-1),6,2)*IF(MID(D110,4,1)="5",0.28,0.4))</f>
        <v>1.1200000000000001</v>
      </c>
      <c r="K147" s="214">
        <f>IFERROR(D109*J147,"")</f>
        <v>11.200000000000001</v>
      </c>
    </row>
    <row r="148" spans="2:11" ht="12" customHeight="1">
      <c r="B148" s="206" t="str" cm="1">
        <f t="array" ref="B148">_xlfn.IFS(OR(D109=0,D110="　"),"",MID(D112,1,3)="アルミ","",MID(D112,1,3)&lt;&gt;"アルミ","長期防錆スプレー")</f>
        <v>長期防錆スプレー</v>
      </c>
      <c r="C148" s="210" t="str" cm="1">
        <f t="array" ref="C148">_xlfn.IFS(OR(D109=0,D110="　"),"",MID(D112,1,3)="アルミ","",MID(D112,1,3)&lt;&gt;"アルミ","防錆オイル")</f>
        <v>防錆オイル</v>
      </c>
      <c r="D148" s="208"/>
      <c r="E148" s="209"/>
      <c r="F148" s="217" t="str" cm="1">
        <f t="array" ref="F148">_xlfn.IFS(OR(D109=0,D110="　"),"",MID(D112,1,3)="アルミ","",MID(D112,1,3)&lt;&gt;"アルミ","n=0.01×(PC鋼より線本数+"&amp;IF(MID(D110,4,1)="5","6","12")&amp;")")</f>
        <v>n=0.01×(PC鋼より線本数+6)</v>
      </c>
      <c r="G148" s="218"/>
      <c r="H148" s="219"/>
      <c r="I148" s="213" t="str" cm="1">
        <f t="array" ref="I148">_xlfn.IFS(OR(D109=0,D110="　"),"",MID(D112,1,3)="アルミ","",MID(D112,1,3)&lt;&gt;"アルミ","缶")</f>
        <v>缶</v>
      </c>
      <c r="J148" s="224" cm="1">
        <f t="array" ref="J148">_xlfn.IFS(OR(D109=0,D110="　"),"",MID(D112,1,3)="アルミ","",MID(D112,1,3)&lt;&gt;"アルミ",0.01*(MID(LEFT(D110, LEN(D110)-1),6,2)+IF(MID(D110,4,1)="5",6,12)))</f>
        <v>0.1</v>
      </c>
      <c r="K148" s="214">
        <f>IFERROR(D109*J148,"")</f>
        <v>1</v>
      </c>
    </row>
    <row r="149" spans="2:11" ht="12" customHeight="1">
      <c r="B149" s="206" t="str">
        <f>IF(OR(D109=0,D110="　",D115="なし"),"","フリーパッカー注入ホース")</f>
        <v/>
      </c>
      <c r="C149" s="207" t="str">
        <f>IF(OR(D109=0,D110="　",B149=""),"","16/20、高密度ポリエチレン")</f>
        <v/>
      </c>
      <c r="D149" s="208"/>
      <c r="E149" s="209"/>
      <c r="F149" s="210" t="str">
        <f>IF(B149="","","L=自由長+緊張部長")</f>
        <v/>
      </c>
      <c r="G149" s="211"/>
      <c r="H149" s="212"/>
      <c r="I149" s="213" t="str">
        <f>IF(OR(D109=0,D110="　",B149=""),"","m")</f>
        <v/>
      </c>
      <c r="J149" s="214" t="str">
        <f>IF(OR(D109=0,D110="　"),"",IF(B149="","",MROUND(D119+D120,0.1)))</f>
        <v/>
      </c>
      <c r="K149" s="214" t="str">
        <f>IFERROR(D109*J149,"")</f>
        <v/>
      </c>
    </row>
    <row r="150" spans="2:11" ht="12" customHeight="1">
      <c r="B150" s="225" t="str">
        <f>IF(OR(D109=0,D110="　",D115="なし"),"","フリーパッカー")</f>
        <v/>
      </c>
      <c r="C150" s="217" t="str" cm="1">
        <f t="array" ref="C150">IF(OR(D109=0,D110="　",B149=""),"",_xlfn.SWITCH(D124,90,"PA-170",115,"PA-200",135,"PA-240",146,"PA-240",165,"PA-350")&amp;"、織布")</f>
        <v/>
      </c>
      <c r="D150" s="208"/>
      <c r="E150" s="209"/>
      <c r="F150" s="226" t="str">
        <f>IF(B150="","","L=自由長+0.5m")</f>
        <v/>
      </c>
      <c r="G150" s="227"/>
      <c r="H150" s="228"/>
      <c r="I150" s="213" t="str">
        <f>IF(OR(D110=0,D111="　",B150=""),"","m")</f>
        <v/>
      </c>
      <c r="J150" s="214" t="str">
        <f>IF(OR(D109=0,D110="　"),"",IF(B150="","",MROUND(D119+0.5,0.1)))</f>
        <v/>
      </c>
      <c r="K150" s="214" t="str">
        <f>IFERROR(D109*J150,"")</f>
        <v/>
      </c>
    </row>
    <row r="151" spans="2:11" ht="12" customHeight="1">
      <c r="B151" s="206" t="str">
        <f>IF(OR(D109=0,D110="　",D115="なし"),"","パッカー取付加工")</f>
        <v/>
      </c>
      <c r="C151" s="207"/>
      <c r="D151" s="208"/>
      <c r="E151" s="209"/>
      <c r="F151" s="217" t="str">
        <f>IF(B151="","","n=1")</f>
        <v/>
      </c>
      <c r="G151" s="218"/>
      <c r="H151" s="219"/>
      <c r="I151" s="213" t="str">
        <f>IF(OR(D111=0,D112="　",B151=""),"","式")</f>
        <v/>
      </c>
      <c r="J151" s="220" t="str">
        <f>IF(OR(D109=0,D110="　"),"",MID(F151,3,2))</f>
        <v/>
      </c>
      <c r="K151" s="206" t="str">
        <f>IFERROR(D109*J151,"")</f>
        <v/>
      </c>
    </row>
    <row r="152" spans="2:11" ht="12" customHeight="1">
      <c r="B152" s="229"/>
      <c r="C152" s="230"/>
      <c r="D152" s="231"/>
      <c r="E152" s="232"/>
      <c r="F152" s="233"/>
      <c r="G152" s="234"/>
      <c r="H152" s="235"/>
      <c r="I152" s="236"/>
      <c r="J152" s="237"/>
      <c r="K152" s="229"/>
    </row>
    <row r="153" spans="2:11" ht="12" customHeight="1">
      <c r="B153" s="238" t="s">
        <v>30</v>
      </c>
      <c r="C153" s="239" t="s">
        <v>31</v>
      </c>
      <c r="D153" s="240"/>
      <c r="E153" s="241"/>
      <c r="F153" s="242" t="s">
        <v>157</v>
      </c>
      <c r="G153" s="243"/>
      <c r="H153" s="244"/>
      <c r="I153" s="245" t="s">
        <v>55</v>
      </c>
      <c r="J153" s="246">
        <f>IFERROR(MROUND(0.25*PI()*(0.001*D124)^2*(D117+D118+D123)*(1+2.2),0.01),"")</f>
        <v>0.17</v>
      </c>
      <c r="K153" s="246">
        <f>IFERROR(D109*J153,"")</f>
        <v>1.7000000000000002</v>
      </c>
    </row>
    <row r="155" spans="2:11" ht="12" customHeight="1">
      <c r="B155" s="247" t="s">
        <v>136</v>
      </c>
      <c r="C155" s="247"/>
      <c r="D155" s="247"/>
      <c r="F155" s="163"/>
      <c r="G155" s="164"/>
      <c r="H155" s="164"/>
    </row>
    <row r="156" spans="2:11" ht="12" customHeight="1">
      <c r="B156" s="15" t="s">
        <v>111</v>
      </c>
      <c r="C156" s="15"/>
      <c r="D156" s="1"/>
      <c r="E156" s="1"/>
      <c r="H156" s="119"/>
      <c r="J156" s="118"/>
    </row>
    <row r="157" spans="2:11" ht="12" customHeight="1">
      <c r="B157" s="165" t="s">
        <v>162</v>
      </c>
      <c r="C157" s="3"/>
      <c r="D157" s="1"/>
      <c r="E157" s="1"/>
      <c r="F157" s="8"/>
      <c r="G157" s="8"/>
      <c r="H157" s="102"/>
      <c r="I157" s="28"/>
      <c r="J157" s="118"/>
    </row>
    <row r="158" spans="2:11" ht="12" customHeight="1">
      <c r="B158" s="15" t="s">
        <v>40</v>
      </c>
      <c r="C158" s="3"/>
      <c r="D158" s="1"/>
      <c r="E158" s="1"/>
      <c r="F158" s="15" t="s">
        <v>54</v>
      </c>
      <c r="G158" s="15"/>
      <c r="H158" s="102"/>
      <c r="I158" s="28"/>
    </row>
    <row r="159" spans="2:11" ht="12" customHeight="1">
      <c r="B159" s="2" t="s">
        <v>53</v>
      </c>
      <c r="C159" s="2" t="s">
        <v>21</v>
      </c>
      <c r="D159" s="2" t="s">
        <v>22</v>
      </c>
      <c r="E159" s="17"/>
      <c r="F159" s="49" t="s">
        <v>41</v>
      </c>
      <c r="G159" s="97" t="s">
        <v>59</v>
      </c>
      <c r="H159" s="49" t="s">
        <v>44</v>
      </c>
      <c r="I159" s="2" t="s">
        <v>21</v>
      </c>
      <c r="J159" s="49" t="s">
        <v>138</v>
      </c>
      <c r="K159" s="2" t="s">
        <v>28</v>
      </c>
    </row>
    <row r="160" spans="2:11" ht="12" customHeight="1">
      <c r="B160" s="166" t="s">
        <v>25</v>
      </c>
      <c r="C160" s="18" t="s">
        <v>24</v>
      </c>
      <c r="D160" s="167">
        <v>10</v>
      </c>
      <c r="E160" s="19"/>
      <c r="F160" s="168" t="s">
        <v>43</v>
      </c>
      <c r="G160" s="169" t="s">
        <v>113</v>
      </c>
      <c r="H160" s="88" t="str" cm="1">
        <f t="array" ref="H160">_xlfn.IFS(AND(F160&lt;&gt;"非削孔",F160&lt;&gt;"無設定"),D175,F160="非削孔",IF(MID(D164,1,3)="土留め","非削孔","箱抜き"),F160="無設定","無設定")</f>
        <v>箱抜き</v>
      </c>
      <c r="I160" s="23" t="str">
        <f>IF(F160="無設定","","m")</f>
        <v>m</v>
      </c>
      <c r="J160" s="170">
        <v>0.5</v>
      </c>
      <c r="K160" s="30">
        <f>D160*J160</f>
        <v>5</v>
      </c>
    </row>
    <row r="161" spans="2:13" ht="12" customHeight="1">
      <c r="B161" s="171" t="s">
        <v>37</v>
      </c>
      <c r="C161" s="50" t="s">
        <v>38</v>
      </c>
      <c r="D161" s="172" t="s">
        <v>159</v>
      </c>
      <c r="E161" s="173"/>
      <c r="F161" s="174" t="s">
        <v>49</v>
      </c>
      <c r="G161" s="169" t="s">
        <v>114</v>
      </c>
      <c r="H161" s="88" cm="1">
        <f t="array" ref="H161">_xlfn.IFS(AND(F161&lt;&gt;"非削孔",F161&lt;&gt;"無設定"),D175,F161="非削孔","箱抜き",F161="無設定","無設定")</f>
        <v>90</v>
      </c>
      <c r="I161" s="23" t="str">
        <f t="shared" ref="I161:I169" si="6">IF(F161="無設定","","m")</f>
        <v>m</v>
      </c>
      <c r="J161" s="170">
        <v>2.64</v>
      </c>
      <c r="K161" s="30">
        <f>D160*J161</f>
        <v>26.400000000000002</v>
      </c>
    </row>
    <row r="162" spans="2:13" ht="12" customHeight="1">
      <c r="B162" s="52" t="s">
        <v>39</v>
      </c>
      <c r="C162" s="91" t="s">
        <v>38</v>
      </c>
      <c r="D162" s="175" t="s">
        <v>60</v>
      </c>
      <c r="E162" s="140"/>
      <c r="F162" s="174" t="s">
        <v>49</v>
      </c>
      <c r="G162" s="169" t="s">
        <v>115</v>
      </c>
      <c r="H162" s="88" cm="1">
        <f t="array" ref="H162">_xlfn.IFS(AND(F162&lt;&gt;"非削孔",F162&lt;&gt;"無設定"),D175,F162="非削孔","箱抜き",F162="無設定","無設定")</f>
        <v>90</v>
      </c>
      <c r="I162" s="23" t="str">
        <f t="shared" si="6"/>
        <v>m</v>
      </c>
      <c r="J162" s="170">
        <v>5.36</v>
      </c>
      <c r="K162" s="30">
        <f>D160*J162</f>
        <v>53.6</v>
      </c>
    </row>
    <row r="163" spans="2:13" ht="12" customHeight="1">
      <c r="B163" s="147" t="s">
        <v>140</v>
      </c>
      <c r="C163" s="91" t="s">
        <v>38</v>
      </c>
      <c r="D163" s="176" t="s">
        <v>141</v>
      </c>
      <c r="E163" s="141"/>
      <c r="F163" s="174" t="s">
        <v>48</v>
      </c>
      <c r="G163" s="169"/>
      <c r="H163" s="88" t="str" cm="1">
        <f t="array" ref="H163">_xlfn.IFS(AND(F163&lt;&gt;"非削孔",F163&lt;&gt;"無設定"),D175,F163="非削孔","箱抜き",F163="無設定","無設定")</f>
        <v>無設定</v>
      </c>
      <c r="I163" s="23" t="str">
        <f t="shared" si="6"/>
        <v/>
      </c>
      <c r="J163" s="170">
        <v>0</v>
      </c>
      <c r="K163" s="30">
        <f>D160*J163</f>
        <v>0</v>
      </c>
      <c r="M163" s="112"/>
    </row>
    <row r="164" spans="2:13" ht="12" customHeight="1">
      <c r="B164" s="147" t="s">
        <v>142</v>
      </c>
      <c r="C164" s="91" t="s">
        <v>38</v>
      </c>
      <c r="D164" s="177" t="s">
        <v>160</v>
      </c>
      <c r="E164" s="21"/>
      <c r="F164" s="174" t="s">
        <v>48</v>
      </c>
      <c r="G164" s="169"/>
      <c r="H164" s="88" t="str" cm="1">
        <f t="array" ref="H164">_xlfn.IFS(AND(F164&lt;&gt;"非削孔",F164&lt;&gt;"無設定"),D175,F164="非削孔","箱抜き",F164="無設定","無設定")</f>
        <v>無設定</v>
      </c>
      <c r="I164" s="23" t="str">
        <f t="shared" si="6"/>
        <v/>
      </c>
      <c r="J164" s="170">
        <v>0</v>
      </c>
      <c r="K164" s="30">
        <f>D160*J164</f>
        <v>0</v>
      </c>
    </row>
    <row r="165" spans="2:13" ht="12" customHeight="1">
      <c r="B165" s="114" t="str">
        <f>IF(MID(D164,1,3)="土留め",D164&amp;"の種類","")</f>
        <v/>
      </c>
      <c r="C165" s="91" t="s">
        <v>38</v>
      </c>
      <c r="D165" s="178" t="s">
        <v>71</v>
      </c>
      <c r="E165" s="21"/>
      <c r="F165" s="174" t="s">
        <v>48</v>
      </c>
      <c r="G165" s="169"/>
      <c r="H165" s="88" t="str" cm="1">
        <f t="array" ref="H165">_xlfn.IFS(AND(F165&lt;&gt;"非削孔",F165&lt;&gt;"無設定"),D175,F165="非削孔","箱抜き",F165="無設定","無設定")</f>
        <v>無設定</v>
      </c>
      <c r="I165" s="23" t="str">
        <f t="shared" si="6"/>
        <v/>
      </c>
      <c r="J165" s="170">
        <v>0</v>
      </c>
      <c r="K165" s="30">
        <f>D160*J165</f>
        <v>0</v>
      </c>
    </row>
    <row r="166" spans="2:13" ht="12" customHeight="1">
      <c r="B166" s="179" t="s">
        <v>50</v>
      </c>
      <c r="C166" s="180" t="s">
        <v>38</v>
      </c>
      <c r="D166" s="181" t="s">
        <v>51</v>
      </c>
      <c r="E166" s="182"/>
      <c r="F166" s="174" t="s">
        <v>48</v>
      </c>
      <c r="G166" s="169"/>
      <c r="H166" s="88" t="str" cm="1">
        <f t="array" ref="H166">_xlfn.IFS(AND(F166&lt;&gt;"非削孔",F166&lt;&gt;"無設定"),D175,F166="非削孔","箱抜き",F166="無設定","無設定")</f>
        <v>無設定</v>
      </c>
      <c r="I166" s="23" t="str">
        <f t="shared" si="6"/>
        <v/>
      </c>
      <c r="J166" s="170">
        <v>0</v>
      </c>
      <c r="K166" s="30">
        <f>D160*J166</f>
        <v>0</v>
      </c>
    </row>
    <row r="167" spans="2:13" ht="12" customHeight="1">
      <c r="B167" s="160" t="str" cm="1">
        <f t="array" ref="B167">"頭部自由長"&amp;_xlfn.IFS(MID(D164,1,2)="なし","",MID(D164,1,3)="受圧体","(受圧体)",MID(D164,1,3)="のり面","(角度台座＋受圧体)",MID(D164,1,3)="構造物","(壁面台座)",MID(D164,1,3)="土留め","(台座+腹起し)")&amp;"　Lfh"</f>
        <v>頭部自由長(角度台座＋受圧体)　Lfh</v>
      </c>
      <c r="C167" s="155" t="s">
        <v>23</v>
      </c>
      <c r="D167" s="183">
        <v>0.5</v>
      </c>
      <c r="E167" s="21"/>
      <c r="F167" s="174" t="s">
        <v>144</v>
      </c>
      <c r="G167" s="169"/>
      <c r="H167" s="88" cm="1">
        <f t="array" ref="H167">_xlfn.IFS(AND(F167&lt;&gt;"非削孔",F167&lt;&gt;"無設定"),D175,F167="非削孔","箱抜き",F167="無設定","無設定")</f>
        <v>90</v>
      </c>
      <c r="I167" s="23" t="str">
        <f t="shared" si="6"/>
        <v>m</v>
      </c>
      <c r="J167" s="170">
        <v>0</v>
      </c>
      <c r="K167" s="30">
        <f>D160*J167</f>
        <v>0</v>
      </c>
    </row>
    <row r="168" spans="2:13" ht="12" customHeight="1">
      <c r="B168" s="22" t="s">
        <v>108</v>
      </c>
      <c r="C168" s="23" t="s">
        <v>23</v>
      </c>
      <c r="D168" s="184">
        <v>4</v>
      </c>
      <c r="E168" s="21"/>
      <c r="F168" s="174" t="s">
        <v>48</v>
      </c>
      <c r="G168" s="169"/>
      <c r="H168" s="88" t="str" cm="1">
        <f t="array" ref="H168">_xlfn.IFS(AND(F168&lt;&gt;"非削孔",F168&lt;&gt;"無設定"),D175,F168="非削孔","箱抜き",F168="無設定","無設定")</f>
        <v>無設定</v>
      </c>
      <c r="I168" s="23" t="str">
        <f t="shared" si="6"/>
        <v/>
      </c>
      <c r="J168" s="170">
        <v>0</v>
      </c>
      <c r="K168" s="30">
        <f>D160*J168</f>
        <v>0</v>
      </c>
    </row>
    <row r="169" spans="2:13" ht="12" customHeight="1">
      <c r="B169" s="157" t="s">
        <v>36</v>
      </c>
      <c r="C169" s="158" t="s">
        <v>23</v>
      </c>
      <c r="D169" s="185">
        <v>4</v>
      </c>
      <c r="F169" s="186" t="str" cm="1">
        <f t="array" ref="F169">INDEX(F160:H168,MATCH("無設定",F160:F168,0)-1,MATCH(F159,F159:H159,0))</f>
        <v>軟　岩</v>
      </c>
      <c r="G169" s="100" t="str" cm="1">
        <f t="array" ref="G169">INDEX(F160:H168,MATCH("無設定",F160:F168,0)-1,MATCH(G159,F159:H159,0))&amp;"　(先端長 L2d)"</f>
        <v>風化岩 CL　(先端長 L2d)</v>
      </c>
      <c r="H169" s="88" cm="1">
        <f t="array" ref="H169">INDEX(F160:H168,MATCH("無設定",F160:F168,0)-1,MATCH(H159,F159:H159,0))</f>
        <v>90</v>
      </c>
      <c r="I169" s="23" t="str">
        <f t="shared" si="6"/>
        <v>m</v>
      </c>
      <c r="J169" s="98">
        <f>D174</f>
        <v>0.25</v>
      </c>
      <c r="K169" s="78">
        <f>IFERROR(D160*J169,"")</f>
        <v>2.5</v>
      </c>
    </row>
    <row r="170" spans="2:13" ht="12" customHeight="1">
      <c r="B170" s="154" t="s">
        <v>145</v>
      </c>
      <c r="C170" s="155" t="s">
        <v>23</v>
      </c>
      <c r="D170" s="187">
        <f>IF(OR(D160=0,D161="　"),"──",SUM(D167:D168))</f>
        <v>4.5</v>
      </c>
      <c r="E170" s="19"/>
      <c r="F170" s="188"/>
      <c r="G170" s="103" t="s">
        <v>124</v>
      </c>
      <c r="H170" s="103"/>
      <c r="I170" s="18" t="s">
        <v>23</v>
      </c>
      <c r="J170" s="74">
        <f>SUMIFS(J160:J169,F160:F169,"&lt;&gt;非削孔",F160:F169,"&lt;&gt;無設定")</f>
        <v>8.25</v>
      </c>
      <c r="K170" s="95">
        <f>SUMIFS(K160:K169,F160:F169,"&lt;&gt;非削孔",F160:F169,"&lt;&gt;無設定")</f>
        <v>82.5</v>
      </c>
    </row>
    <row r="171" spans="2:13" ht="12" customHeight="1">
      <c r="B171" s="146" t="s">
        <v>146</v>
      </c>
      <c r="C171" s="23" t="s">
        <v>23</v>
      </c>
      <c r="D171" s="189" cm="1">
        <f t="array" ref="D171">IF(OR(D160=0,D161="　"),"──",IF(MID(D161,4,1)="5",_xlfn.IFS(1*MID(LEFT(D161, LEN(D161)-1),6,2)&lt;8,1,1*MID(LEFT(D161, LEN(D161)-1),6,2)&lt;13,1.2),_xlfn.IFS(1*MID(LEFT(D161, LEN(D161)-1),6,2)&lt;6,1,1*MID(LEFT(D161, LEN(D161)-1),6,2)&lt;15,1.2)))</f>
        <v>1</v>
      </c>
      <c r="E171" s="19"/>
      <c r="F171" s="190"/>
      <c r="G171" s="104" t="s">
        <v>47</v>
      </c>
      <c r="H171" s="104"/>
      <c r="I171" s="79" t="s">
        <v>46</v>
      </c>
      <c r="J171" s="77" t="str">
        <f>IF(OR(D160=0,D161="　"),"",IF(SUM(D168:D169,D174)=J170,"OK","NG"))</f>
        <v>OK</v>
      </c>
      <c r="K171" s="145" t="str">
        <f>IF(J171&lt;&gt;"NG","──",J170-SUM(D168:D169,D174))</f>
        <v>──</v>
      </c>
      <c r="M171" s="144"/>
    </row>
    <row r="172" spans="2:13" ht="12" customHeight="1">
      <c r="B172" s="22" t="s">
        <v>125</v>
      </c>
      <c r="C172" s="23" t="s">
        <v>35</v>
      </c>
      <c r="D172" s="84">
        <f>IF(OR(D160=0,D161="　"),"──",0.2)</f>
        <v>0.2</v>
      </c>
      <c r="F172" s="191" t="s">
        <v>58</v>
      </c>
      <c r="G172" s="248" t="s">
        <v>110</v>
      </c>
      <c r="H172" s="249"/>
      <c r="I172" s="249"/>
      <c r="J172" s="249"/>
      <c r="K172" s="250"/>
    </row>
    <row r="173" spans="2:13" ht="12" customHeight="1">
      <c r="B173" s="6" t="s">
        <v>147</v>
      </c>
      <c r="C173" s="23" t="s">
        <v>23</v>
      </c>
      <c r="D173" s="60">
        <f>IF(OR(D160=0,D161="　"),"──",SUM(D169:D172))</f>
        <v>9.6999999999999993</v>
      </c>
    </row>
    <row r="174" spans="2:13" ht="12" customHeight="1">
      <c r="B174" s="25" t="s">
        <v>127</v>
      </c>
      <c r="C174" s="26" t="s">
        <v>23</v>
      </c>
      <c r="D174" s="27">
        <f>IF(OR(D160=0,D161="　"),"──",0.25)</f>
        <v>0.25</v>
      </c>
      <c r="F174" s="8"/>
      <c r="G174" s="8"/>
      <c r="H174" s="102"/>
    </row>
    <row r="175" spans="2:13" ht="12" customHeight="1">
      <c r="B175" s="95" t="s">
        <v>123</v>
      </c>
      <c r="C175" s="18" t="s">
        <v>32</v>
      </c>
      <c r="D175" s="192">
        <v>90</v>
      </c>
      <c r="E175" s="193" t="str">
        <f>IF(D175&lt;D176,"NG：削孔径不適合","")</f>
        <v/>
      </c>
      <c r="F175" s="8"/>
      <c r="G175" s="8"/>
      <c r="H175" s="102"/>
    </row>
    <row r="176" spans="2:13" ht="12" customHeight="1">
      <c r="B176" s="25" t="s">
        <v>122</v>
      </c>
      <c r="C176" s="26" t="s">
        <v>32</v>
      </c>
      <c r="D176" s="194" cm="1">
        <f t="array" ref="D176">IF(OR(D160=0,D161="　"),"──",IF(D166="なし",IF(MID(D161,4,1)="5",_xlfn.IFS(1*MID(LEFT(D161, LEN(D161)-1),6,2)&lt;6,90,1*MID(LEFT(D161, LEN(D161)-1),6,2)&lt;9,115,1*MID(LEFT(D161, LEN(D161)-1),6,2)&gt;8,135),_xlfn.IFS(1*MID(LEFT(D161, LEN(D161)-1),6,2)&lt;4,90,1*MID(LEFT(D161, LEN(D161)-1),6,2)&lt;7,115,1*MID(LEFT(D161, LEN(D161)-1),6,2)&lt;10,135,1*MID(LEFT(D161, LEN(D161)-1),6,2)&lt;13,146,1*MID(LEFT(D161, LEN(D161)-1),6,2)&gt;12,165)),IF(MID(D161,4,1)="5",_xlfn.IFS(1*MID(LEFT(D161, LEN(D161)-1),6,2)&lt;3,90,1*MID(LEFT(D161, LEN(D161)-1),6,2)&lt;7,115,1*MID(LEFT(D161, LEN(D161)-1),6,2)&lt;9,135,1*MID(LEFT(D161, LEN(D161)-1),6,2)&gt;8,146),_xlfn.IFS(1*MID(LEFT(D161, LEN(D161)-1),6,2)&lt;3,90,1*MID(LEFT(D161, LEN(D161)-1),6,2)&lt;4,115,1*MID(LEFT(D161, LEN(D161)-1),6,2)&lt;6,135,1*MID(LEFT(D161, LEN(D161)-1),6,2)&lt;10,146,1*MID(LEFT(D161, LEN(D161)-1),6,2)&lt;13,165,1*MID(LEFT(D161, LEN(D161)-1),6,2)&gt;12,216))))</f>
        <v>90</v>
      </c>
      <c r="E176" s="195"/>
      <c r="F176" s="8"/>
      <c r="G176" s="8"/>
      <c r="H176" s="102"/>
    </row>
    <row r="177" spans="2:12" ht="12" customHeight="1">
      <c r="B177" s="20"/>
      <c r="C177" s="46"/>
      <c r="D177" s="117"/>
      <c r="F177" s="8"/>
      <c r="G177" s="8"/>
      <c r="H177" s="102"/>
    </row>
    <row r="178" spans="2:12" ht="12" customHeight="1">
      <c r="B178" s="15" t="str">
        <f>"■"&amp;MID(B155,2,14)</f>
        <v>■本設：EHDアンカーHP工法</v>
      </c>
      <c r="C178" s="3"/>
      <c r="D178" s="1"/>
      <c r="E178" s="1"/>
      <c r="F178" s="8"/>
      <c r="G178" s="8"/>
      <c r="H178" s="102"/>
    </row>
    <row r="179" spans="2:12" ht="12" customHeight="1">
      <c r="B179" s="2" t="s">
        <v>17</v>
      </c>
      <c r="C179" s="43"/>
      <c r="D179" s="196" t="s">
        <v>148</v>
      </c>
      <c r="E179" s="135"/>
      <c r="F179" s="16"/>
      <c r="G179" s="61" t="s">
        <v>42</v>
      </c>
      <c r="H179" s="97"/>
      <c r="I179" s="2" t="s">
        <v>21</v>
      </c>
      <c r="J179" s="49" t="s">
        <v>149</v>
      </c>
      <c r="K179" s="2" t="s">
        <v>28</v>
      </c>
    </row>
    <row r="180" spans="2:12" ht="12" customHeight="1">
      <c r="B180" s="197" t="s">
        <v>150</v>
      </c>
      <c r="C180" s="198" t="str">
        <f>IF(OR(D160=0,D161="　"),"",D161&amp;" ("&amp;MID(LEFT(D161, LEN(D161)-1),6,2)&amp;IF(MID(D161,4,1)="5","φ12.7","φ15.2")&amp;")")</f>
        <v>EHD5-4H (4φ12.7)</v>
      </c>
      <c r="D180" s="199"/>
      <c r="E180" s="200"/>
      <c r="F180" s="201" t="str">
        <f>"W=テンドン長×PC鋼より線本数×"&amp;IF(MID(D161,4,1)="5","0.774","1.101")&amp;"kg/m"</f>
        <v>W=テンドン長×PC鋼より線本数×0.774kg/m</v>
      </c>
      <c r="G180" s="202"/>
      <c r="H180" s="203"/>
      <c r="I180" s="204" t="s">
        <v>11</v>
      </c>
      <c r="J180" s="205">
        <f>IF(OR(D160=0,D161="　"),"",MROUND(D173*MID(LEFT(D161, LEN(D161)-1),6,2)*IF(MID(D161,4,1)="5","0.774","1.101"),0.01))</f>
        <v>30.03</v>
      </c>
      <c r="K180" s="205">
        <f>IFERROR(D160*J180,"")</f>
        <v>300.3</v>
      </c>
      <c r="L180" s="13"/>
    </row>
    <row r="181" spans="2:12" ht="12" customHeight="1">
      <c r="B181" s="206" t="s">
        <v>151</v>
      </c>
      <c r="C181" s="207"/>
      <c r="D181" s="208"/>
      <c r="E181" s="209"/>
      <c r="F181" s="210" t="s">
        <v>33</v>
      </c>
      <c r="G181" s="211"/>
      <c r="H181" s="212"/>
      <c r="I181" s="213" t="s">
        <v>12</v>
      </c>
      <c r="J181" s="214">
        <f>IF(OR(D160=0,D161="　"),"",MROUND(D173,0.1))</f>
        <v>9.7000000000000011</v>
      </c>
      <c r="K181" s="214">
        <f>IFERROR(D160*J181,"")</f>
        <v>97.000000000000014</v>
      </c>
    </row>
    <row r="182" spans="2:12" ht="12" customHeight="1">
      <c r="B182" s="206" t="str">
        <f>"頭部キャップ"</f>
        <v>頭部キャップ</v>
      </c>
      <c r="C182" s="207" t="str" cm="1">
        <f t="array" ref="C182">IF(OR(D160=0,D161="　"),"",IF(MID(D161,4,1)="5",_xlfn.SWITCH(1*MID(LEFT(D161, LEN(D161)-1),6,2),1,"S",2,"S",3,"S",4,"S",5,"M",6,"M",7,"M",8,"L",9,"L",10,"L",11,"L",12,"L"),_xlfn.SWITCH(1*MID(LEFT(D161, LEN(D161)-1),6,2),1,"S",2,"S",3,"M",4,"M",5,"L",6,"L",7,"L",8,"LL",9,"LL",10,"LL",11,"LL",12,"LL",13,"LL",14,"LL"))&amp;"型"&amp;D163&amp;IF(OR(MID(D163,1,2)="透明",MID(D163,1,2)="5窓"),"、PC樹脂","")&amp;"、ｱﾙﾐAC4C相当"&amp;_xlfn.IFS(MID(D162,1,3)="防食Ⅱ","",MID(D162,5,2)="塩害","、防食：ﾀｹｺｰﾄ処理",MID(D162,5,2)="酸性","、防食：重防食処理"))</f>
        <v>S型透明キャップ、PC樹脂、ｱﾙﾐAC4C相当</v>
      </c>
      <c r="D182" s="215"/>
      <c r="E182" s="216"/>
      <c r="F182" s="217" t="str">
        <f t="shared" ref="F182:F188" si="7">"n=1"</f>
        <v>n=1</v>
      </c>
      <c r="G182" s="218"/>
      <c r="H182" s="219"/>
      <c r="I182" s="213" t="s">
        <v>13</v>
      </c>
      <c r="J182" s="220" t="str">
        <f>IF(OR(D160=0,D161="　"),"",MID(F182,3,2))</f>
        <v>1</v>
      </c>
      <c r="K182" s="214">
        <f>IFERROR(D160*J182,"")</f>
        <v>10</v>
      </c>
    </row>
    <row r="183" spans="2:12" ht="12" customHeight="1">
      <c r="B183" s="206" t="s">
        <v>5</v>
      </c>
      <c r="C183" s="207" t="str" cm="1">
        <f t="array" ref="C183">IF(OR(D160=0,D161="　"),"",IF(MID(D161,4,1)="5","G5"&amp;_xlfn.SWITCH(1*MID(LEFT(D161, LEN(D161)-1),6,2),1,"01",2,"02",3,"03",4,"04",5,"07",6,"07",7,"07",8,"09",9,"09",10,"12",11,"12",12,"12"),"G6"&amp;_xlfn.SWITCH(1*MID(LEFT(D161, LEN(D161)-1),6,2),1,"01",2,"02",3,"03",4,"04",5,"07",6,"07",7,"07",8,"09",9,"09",10,"12",11,"12",12,"12",13,"14",14,"14"))&amp;"、S45C相当"&amp;IF(MID(D163,1,3)&lt;&gt;"アルミ","、防食：無電解Niめっき",""))</f>
        <v>G504、S45C相当、防食：無電解Niめっき</v>
      </c>
      <c r="D183" s="208"/>
      <c r="E183" s="209"/>
      <c r="F183" s="217" t="str">
        <f t="shared" si="7"/>
        <v>n=1</v>
      </c>
      <c r="G183" s="218"/>
      <c r="H183" s="219"/>
      <c r="I183" s="213" t="s">
        <v>13</v>
      </c>
      <c r="J183" s="220" t="str">
        <f>IF(OR(D160=0,D161="　"),"",MID(F183,3,2))</f>
        <v>1</v>
      </c>
      <c r="K183" s="214">
        <f>IFERROR(D160*J183,"")</f>
        <v>10</v>
      </c>
    </row>
    <row r="184" spans="2:12" ht="12" customHeight="1">
      <c r="B184" s="206" t="s">
        <v>152</v>
      </c>
      <c r="C184" s="207" t="str" cm="1">
        <f t="array" ref="C184">IF(OR(D160=0,D161="　"),"",IF(MID(D161,4,1)="5","G5"&amp;_xlfn.SWITCH(1*MID(LEFT(D161, LEN(D161)-1),6,2),1,"01",2,"02",3,"03",4,"04",5,"07",6,"07",7,"07",8,"09",9,"09",10,"12",11,"12",12,"12"),"G6"&amp;_xlfn.SWITCH(1*MID(LEFT(D161, LEN(D161)-1),6,2),1,"01",2,"02",3,"03",4,"04",5,"07",6,"07",7,"07",8,"09",9,"09",10,"12",11,"12",12,"12",13,"14",14,"14"))&amp;"、S45C相当"&amp;IF(MID(D163,1,3)&lt;&gt;"アルミ","、防食：無電解Niめっき",""))</f>
        <v>G504、S45C相当、防食：無電解Niめっき</v>
      </c>
      <c r="D184" s="208"/>
      <c r="E184" s="209"/>
      <c r="F184" s="217" t="str">
        <f t="shared" si="7"/>
        <v>n=1</v>
      </c>
      <c r="G184" s="218"/>
      <c r="H184" s="219"/>
      <c r="I184" s="213" t="s">
        <v>13</v>
      </c>
      <c r="J184" s="220" t="str">
        <f>IF(OR(D160=0,D161="　"),"",MID(F184,3,2))</f>
        <v>1</v>
      </c>
      <c r="K184" s="214">
        <f>IFERROR(D160*J184,"")</f>
        <v>10</v>
      </c>
    </row>
    <row r="185" spans="2:12" ht="12" customHeight="1">
      <c r="B185" s="206" t="s">
        <v>7</v>
      </c>
      <c r="C185" s="207" t="str">
        <f>IF(OR(D160=0,D161="　"),"",IF(1*MID(D161,4,1)=5,"ECF12.7","ECF15.2")&amp;"、SCM415相当"&amp;IF(MID(D163,1,3)&lt;&gt;"アルミ","、防食：無電解Niめっき",""))</f>
        <v>ECF12.7、SCM415相当、防食：無電解Niめっき</v>
      </c>
      <c r="D185" s="208"/>
      <c r="E185" s="209"/>
      <c r="F185" s="217" t="str">
        <f t="shared" si="7"/>
        <v>n=1</v>
      </c>
      <c r="G185" s="218"/>
      <c r="H185" s="219"/>
      <c r="I185" s="213" t="s">
        <v>27</v>
      </c>
      <c r="J185" s="220" t="str">
        <f>IF(OR(D160=0,D161="　"),"",MID(F185,3,2))</f>
        <v>1</v>
      </c>
      <c r="K185" s="214">
        <f>IFERROR(D160*J185,"")</f>
        <v>10</v>
      </c>
    </row>
    <row r="186" spans="2:12" ht="12" customHeight="1">
      <c r="B186" s="206" t="s">
        <v>153</v>
      </c>
      <c r="C186" s="207" t="str" cm="1">
        <f t="array" ref="C186">IF(OR(D160=0,D161="　"),"",IF(MID(D161,4,1)="5","G5"&amp;_xlfn.SWITCH(1*MID(LEFT(D161, LEN(D161)-1),6,2),1,"01",2,"04",3,"03",4,"04",5,"07",6,"07",7,"07",8,"12",9,"12",10,"12",11,"12",12,"12"),"G6"&amp;_xlfn.SWITCH(1*MID(LEFT(D161, LEN(D161)-1),6,2),1,"01",2,"02",3,"03",4,"04",5,"07",6,"07",7,"07",8,"12",9,"12",10,"12",11,"12",12,"12",13,"14",14,"14"))&amp;"、SS400相当、防食："&amp;_xlfn.IFS(MID(D162,1,3)="防食Ⅱ","HDZT77めっき",MID(D162,5,2)="塩害","ｱﾙﾐﾅｲｽﾞ処理",MID(D162,5,2)="酸性","重防食処理"))</f>
        <v>G504、SS400相当、防食：HDZT77めっき</v>
      </c>
      <c r="D186" s="208"/>
      <c r="E186" s="209"/>
      <c r="F186" s="217" t="str">
        <f t="shared" si="7"/>
        <v>n=1</v>
      </c>
      <c r="G186" s="218"/>
      <c r="H186" s="219"/>
      <c r="I186" s="213" t="s">
        <v>16</v>
      </c>
      <c r="J186" s="220" t="str">
        <f>IF(OR(D160=0,D161="　"),"",MID(F186,3,2))</f>
        <v>1</v>
      </c>
      <c r="K186" s="214">
        <f>IFERROR(D160*J186,"")</f>
        <v>10</v>
      </c>
    </row>
    <row r="187" spans="2:12" ht="12" customHeight="1">
      <c r="B187" s="206" t="str">
        <f>IF(MID(D164,1,3)="のり面","管付","")&amp;"支圧板"</f>
        <v>管付支圧板</v>
      </c>
      <c r="C187" s="221" t="str" cm="1">
        <f t="array" ref="C187">IF(OR(D160=0,D161="　"),"","PL"&amp;IF(MID(D164,1,3)="のり面","P","")&amp;IF(MID(D161,4,1)="5","5-"&amp;_xlfn.SWITCH(1*MID(LEFT(D161, LEN(D161)-1),6,2),1,"1",2,"2",3,"3",4,"4",5,"5",6,"6",7,"7",8,"9",9,"9",10,"10",11,"11",12,"12"),"6-"&amp;_xlfn.SWITCH(1*MID(LEFT(D161, LEN(D161)-1),6,2),1,"1",2,"2",3,"3",4,"4",5,"6",6,"6",7,"7",8,"8",9,"9",10,"10",11,"11",12,"12",13,"14",14,"14"))&amp;"、SS400相当、防食："&amp;_xlfn.IFS(MID(D162,1,3)="防食Ⅱ","HDZT77めっき",MID(D162,5,2)="塩害","ｱﾙﾐﾅｲｽﾞ処理",MID(D162,5,2)="酸性","重防食処理"))</f>
        <v>PLP5-4、SS400相当、防食：HDZT77めっき</v>
      </c>
      <c r="D187" s="208"/>
      <c r="E187" s="209"/>
      <c r="F187" s="217" t="str">
        <f t="shared" si="7"/>
        <v>n=1</v>
      </c>
      <c r="G187" s="218"/>
      <c r="H187" s="219"/>
      <c r="I187" s="213" t="s">
        <v>16</v>
      </c>
      <c r="J187" s="220" t="str">
        <f>IF(OR(D160=0,D161="　"),"",MID(F187,3,2))</f>
        <v>1</v>
      </c>
      <c r="K187" s="214">
        <f>IFERROR(D160*J187,"")</f>
        <v>10</v>
      </c>
    </row>
    <row r="188" spans="2:12" ht="12" customHeight="1">
      <c r="B188" s="206" t="s">
        <v>154</v>
      </c>
      <c r="C188" s="207" t="str">
        <f>IF(OR(D160=0,D161="　"),"","G"&amp;MID(LEFT(D161, LEN(D161)-1),4,4)&amp;"、NBR45相当")</f>
        <v>G5-4、NBR45相当</v>
      </c>
      <c r="D188" s="208"/>
      <c r="E188" s="209"/>
      <c r="F188" s="217" t="str">
        <f t="shared" si="7"/>
        <v>n=1</v>
      </c>
      <c r="G188" s="218"/>
      <c r="H188" s="219"/>
      <c r="I188" s="213" t="s">
        <v>13</v>
      </c>
      <c r="J188" s="220" t="str">
        <f>IF(OR(D160=0,D161="　"),"",MID(F188,3,2))</f>
        <v>1</v>
      </c>
      <c r="K188" s="214">
        <f>IFERROR(D160*J188,"")</f>
        <v>10</v>
      </c>
    </row>
    <row r="189" spans="2:12" ht="12" customHeight="1">
      <c r="B189" s="206" t="str" cm="1">
        <f t="array" ref="B189">_xlfn.IFS(OR(D160=0,D161="　"),"",MID(D163,1,3)="アルミ","頭部防錆油",MID(D163,1,3)&lt;&gt;"アルミ","余長キャップ")</f>
        <v>余長キャップ</v>
      </c>
      <c r="C189" s="221" t="str" cm="1">
        <f t="array" ref="C189">_xlfn.IFS(OR(D160=0,D161="　"),"",MID(D163,1,3)="アルミ","PCコートC",MID(D163,1,3)&lt;&gt;"アルミ","TC"&amp;MID(D161,4,1)&amp;"、高密度ポチエチレン")</f>
        <v>TC5、高密度ポチエチレン</v>
      </c>
      <c r="D189" s="208"/>
      <c r="E189" s="209"/>
      <c r="F189" s="217" t="str" cm="1">
        <f t="array" ref="F189">_xlfn.IFS(OR(D160=0,D161="　"),"",MID(D163,1,3)="アルミ","W="&amp;IF(MID(D161,4,1)="5",_xlfn.SWITCH(1*MID(LEFT(D161, LEN(D161)-1),6,2),1,1.9,2,1.3,3,1.3,4,1.3,5,1.6,6,1.6,7,1.6,8,3.1,9,3.1,10,3.1,11,3.1,12,3.1),"G6"&amp;_xlfn.SWITCH(1*MID(LEFT(D161, LEN(D161)-1),6,2),1,1.8,2,1.3,3,1.8,4,1.8,5,3.3,6,3.3,7,3.3,8,9.9,9,9.9,10,9.9,11,9.9,12,9.9,13,9.9,14,9.9)),MID(D163,1,3)&lt;&gt;"アルミ","n=1")</f>
        <v>n=1</v>
      </c>
      <c r="G189" s="218"/>
      <c r="H189" s="219"/>
      <c r="I189" s="213" t="str" cm="1">
        <f t="array" ref="I189">_xlfn.IFS(OR(D160=0,D161="　"),"",MID(D163,1,3)="アルミ","kg",MID(D163,1,3)&lt;&gt;"アルミ","式")</f>
        <v>式</v>
      </c>
      <c r="J189" s="220" t="str">
        <f>IF(OR(D160=0,D161="　"),"",MID(F189,3,4))</f>
        <v>1</v>
      </c>
      <c r="K189" s="214">
        <f>IFERROR(D160*J189,"")</f>
        <v>10</v>
      </c>
    </row>
    <row r="190" spans="2:12" ht="12" customHeight="1">
      <c r="B190" s="206" t="s">
        <v>9</v>
      </c>
      <c r="C190" s="207" t="str" cm="1">
        <f t="array" ref="C190">IF(OR(D160=0,D161="　"),"",IF(MID(D161,4,1)="5","PS5-"&amp;_xlfn.SWITCH(1*MID(LEFT(D161, LEN(D161)-1),6,2),1,"7",2,"2",3,"3",4,"4",5,"7",6,"7",7,"7",8,"12",9,"12",10,"12",11,"12",12,"12"),"PS6-"&amp;_xlfn.SWITCH(1*MID(LEFT(D161, LEN(D161)-1),6,2),1,"7",2,"2",3,"3",4,"4",5,"7",6,"7",7,"7",8,"12",9,"12",10,"12",11,"12",12,"12",13,"14",14,"14"))&amp;"、高密度ポリエチレン")</f>
        <v>PS5-4、高密度ポリエチレン</v>
      </c>
      <c r="D190" s="208"/>
      <c r="E190" s="209"/>
      <c r="F190" s="217" t="str">
        <f>"n=2"</f>
        <v>n=2</v>
      </c>
      <c r="G190" s="218"/>
      <c r="H190" s="219"/>
      <c r="I190" s="213" t="s">
        <v>13</v>
      </c>
      <c r="J190" s="220" t="str">
        <f>IF(OR(D160=0,D161="　"),"",MID(F190,3,2))</f>
        <v>2</v>
      </c>
      <c r="K190" s="214">
        <f>IFERROR(D160*J190,"")</f>
        <v>20</v>
      </c>
    </row>
    <row r="191" spans="2:12" ht="12" customHeight="1">
      <c r="B191" s="206" t="s">
        <v>2</v>
      </c>
      <c r="C191" s="207" t="str" cm="1">
        <f t="array" ref="C191">IF(OR(D160=0,D161="　"),"",IF(MID(D161,4,1)="5","S5-"&amp;_xlfn.IFS(1*MID(LEFT(D161, LEN(D161)-1),6,2)&lt;6,"5",1*MID(LEFT(D161, LEN(D161)-1),6,2)&lt;9,"8",1*MID(LEFT(D161, LEN(D161)-1),6,2)&gt;8,"12"),"S6-"&amp;_xlfn.IFS(1*MID(LEFT(D161, LEN(D161)-1),6,2)&lt;4,"3",1*MID(LEFT(D161, LEN(D161)-1),6,2)&lt;7,"6",1*MID(LEFT(D161, LEN(D161)-1),6,2)&lt;10,"9",1*MID(LEFT(D161, LEN(D161)-1),6,2)&lt;13,"12",1*MID(LEFT(D161, LEN(D161)-1),6,2)&gt;12,"14"))&amp;"、ポリプロピレン")</f>
        <v>S5-5、ポリプロピレン</v>
      </c>
      <c r="D191" s="208"/>
      <c r="E191" s="209"/>
      <c r="F191" s="222" t="s">
        <v>155</v>
      </c>
      <c r="G191" s="211"/>
      <c r="H191" s="212"/>
      <c r="I191" s="213" t="s">
        <v>13</v>
      </c>
      <c r="J191" s="206">
        <f>IF(OR(D160=0,D161="　"),"",MROUND((D169-0.4)/1,1))</f>
        <v>4</v>
      </c>
      <c r="K191" s="214">
        <f>IFERROR(D160*J191,"")</f>
        <v>40</v>
      </c>
    </row>
    <row r="192" spans="2:12" ht="12" customHeight="1">
      <c r="B192" s="206" t="s">
        <v>1</v>
      </c>
      <c r="C192" s="207" t="str" cm="1">
        <f t="array" ref="C192">IF(OR(D160=0,D161="　"),"",IF(MID(D161,4,1)="5","PC5-"&amp;_xlfn.IFS(1*MID(LEFT(D161, LEN(D161)-1),6,2)&lt;5,"4",1*MID(LEFT(D161, LEN(D161)-1),6,2)&lt;8,"7",1*MID(LEFT(D161, LEN(D161)-1),6,2)&lt;10,"9",1*MID(LEFT(D161, LEN(D161)-1),6,2)&gt;9,"12"),"PC6-"&amp;_xlfn.IFS(1*MID(LEFT(D161, LEN(D161)-1),6,2)&lt;4,"3",1*MID(LEFT(D161, LEN(D161)-1),6,2)&lt;8,"7",1*MID(LEFT(D161, LEN(D161)-1),6,2)&lt;13,"12",1*MID(LEFT(D161, LEN(D161)-1),6,2)&gt;12,"14"))&amp;"、ポリプロピレン")</f>
        <v>PC5-4、ポリプロピレン</v>
      </c>
      <c r="D192" s="208"/>
      <c r="E192" s="209"/>
      <c r="F192" s="217" t="str">
        <f>"n=1"</f>
        <v>n=1</v>
      </c>
      <c r="G192" s="218"/>
      <c r="H192" s="219"/>
      <c r="I192" s="213" t="s">
        <v>13</v>
      </c>
      <c r="J192" s="220" t="str">
        <f>IF(OR(D160=0,D161="　"),"",MID(F192,3,2))</f>
        <v>1</v>
      </c>
      <c r="K192" s="214">
        <f>IFERROR(D160*J192,"")</f>
        <v>10</v>
      </c>
    </row>
    <row r="193" spans="2:11" ht="12" customHeight="1">
      <c r="B193" s="206" t="s">
        <v>3</v>
      </c>
      <c r="C193" s="207" t="str">
        <f>IF(OR(D160=0,D161="　"),"","66ナイロン")</f>
        <v>66ナイロン</v>
      </c>
      <c r="D193" s="208"/>
      <c r="E193" s="209"/>
      <c r="F193" s="222" t="s">
        <v>156</v>
      </c>
      <c r="G193" s="211"/>
      <c r="H193" s="212"/>
      <c r="I193" s="213" t="s">
        <v>14</v>
      </c>
      <c r="J193" s="206">
        <f>IF(OR(D160=0,D161="　"),"",2*J191)</f>
        <v>8</v>
      </c>
      <c r="K193" s="214">
        <f>IFERROR(D160*J193,"")</f>
        <v>80</v>
      </c>
    </row>
    <row r="194" spans="2:11" ht="12" customHeight="1">
      <c r="B194" s="206" t="s">
        <v>4</v>
      </c>
      <c r="C194" s="207" t="str">
        <f>IF(OR(D160=0,D161="　"),"","フィラメントテープ")</f>
        <v>フィラメントテープ</v>
      </c>
      <c r="D194" s="208"/>
      <c r="E194" s="209"/>
      <c r="F194" s="222" t="str">
        <f>IF(OR(D160=0,D161="　"),"","L=((自由長+緊張部長)÷@1.0m)×テープ係数"&amp;IF(MID(D161,4,1)="5",_xlfn.IFS(1*MID(LEFT(D161, LEN(D161)-1),6,2)&lt;4,"0.8",1*MID(LEFT(D161, LEN(D161)-1),6,2)&lt;7,"1.0",1*MID(LEFT(D161, LEN(D161)-1),6,2)&lt;10,"1.2",1*MID(LEFT(D161, LEN(D161)-1),6,2)&lt;13,"1.4"),_xlfn.IFS(1*MID(LEFT(D161, LEN(D161)-1),6,2)&lt;4,"1.0",1*MID(LEFT(D161, LEN(D161)-1),6,2)&lt;7,"1.2",1*MID(LEFT(D161, LEN(D161)-1),6,2)&lt;10,"1.4",1*MID(LEFT(D161, LEN(D161)-1),6,2)&lt;15,"1.8")))</f>
        <v>L=((自由長+緊張部長)÷@1.0m)×テープ係数1.0</v>
      </c>
      <c r="G194" s="211"/>
      <c r="H194" s="212"/>
      <c r="I194" s="213" t="s">
        <v>12</v>
      </c>
      <c r="J194" s="223">
        <f>IF(OR(D160=0,D161="　"),"",MROUND((SUM(D170,D171))/1*RIGHT(F194, 3),0.1))</f>
        <v>5.5</v>
      </c>
      <c r="K194" s="214">
        <f>IFERROR(D160*J194,"")</f>
        <v>55</v>
      </c>
    </row>
    <row r="195" spans="2:11" ht="12" customHeight="1">
      <c r="B195" s="206" t="s">
        <v>0</v>
      </c>
      <c r="C195" s="207" t="str">
        <f>IF(OR(D160=0,D161="　"),"","16/20、高密度ポリエチレン")</f>
        <v>16/20、高密度ポリエチレン</v>
      </c>
      <c r="D195" s="208"/>
      <c r="E195" s="209"/>
      <c r="F195" s="210" t="s">
        <v>33</v>
      </c>
      <c r="G195" s="211"/>
      <c r="H195" s="212"/>
      <c r="I195" s="213" t="s">
        <v>12</v>
      </c>
      <c r="J195" s="214">
        <f>IF(OR(D160=0,D161="　"),"",MROUND(D173,0.1))</f>
        <v>9.7000000000000011</v>
      </c>
      <c r="K195" s="214">
        <f>IFERROR(D160*J195,"")</f>
        <v>97.000000000000014</v>
      </c>
    </row>
    <row r="196" spans="2:11" ht="12" customHeight="1">
      <c r="B196" s="206" t="str" cm="1">
        <f t="array" ref="B196">_xlfn.IFS(OR(D160=0,D161="　",MID(D164,1,2)="なし",MID(D164,1,3)="受圧体"),"",MID(D164,1,3)="のり面","のり面角度台座",MID(D164,1,3)="構造物","構造物壁面台座",MID(D164,1,3)="土留め","土留め台座")</f>
        <v>のり面角度台座</v>
      </c>
      <c r="C196" s="210" t="str" cm="1">
        <f t="array" ref="C196">IF(OR(D160=0,D161="　",MID(D164,1,2)="なし",MID(D164,1,3)="受圧体"),"",_xlfn.IFS(MID(D164,1,3)="のり面",IF(1*MID(D161,4,1)=5,_xlfn.IFS(1*MID(LEFT(D161, LEN(D161)-1),6,2)&lt;5,"ST140",1*MID(LEFT(D161, LEN(D161)-1),6,2)&lt;8,"ST170",1*MID(LEFT(D161, LEN(D161)-1),6,2)&lt;13,"ST220"),_xlfn.IFS(1*MID(LEFT(D161, LEN(D161)-1),6,2)&lt;4,"ST140",1*MID(LEFT(D161, LEN(D161)-1),6,2)&lt;5,"ST170",1*MID(LEFT(D161, LEN(D161)-1),6,2)&lt;8,"ST220",1*MID(LEFT(D161, LEN(D161)-1),6,2)&lt;15,"非該当"))&amp;"、FCD450相当、防食："&amp;_xlfn.IFS(MID(D162,1,3)="防食Ⅱ","HDZT77めっき",MID(D162,5,2)="塩害","ｱﾙﾐﾅｲｽﾞ処理",MID(D162,5,2)="酸性","重防食処理"),OR(MID(D164,1,3)="構造物",MID(D164,1,3)="土留め"),D161&amp;"用"&amp;IF(OR(MID(D164,1,3)="構造物",D165="　"),"",D165)&amp;"、防食："&amp;_xlfn.IFS(MID(D162,1,3)="防食Ⅱ","HDZT77めっき",MID(D162,5,2)="塩害","ｱﾙﾐﾅｲｽﾞ処理",MID(D162,5,2)="酸性","重防食処理")))</f>
        <v>ST140、FCD450相当、防食：HDZT77めっき</v>
      </c>
      <c r="D196" s="208"/>
      <c r="E196" s="209"/>
      <c r="F196" s="217" t="str">
        <f>IF(OR(D164="なし",D164="受圧体のみ"),"","n=1")</f>
        <v>n=1</v>
      </c>
      <c r="G196" s="218"/>
      <c r="H196" s="219"/>
      <c r="I196" s="213" t="str">
        <f>IF(OR(D160=0,D161="　",B196=""),"","台")</f>
        <v>台</v>
      </c>
      <c r="J196" s="220" t="str">
        <f>IF(OR(D160=0,D161="　"),"",MID(F196,3,2))</f>
        <v>1</v>
      </c>
      <c r="K196" s="214">
        <f>IFERROR(D160*J196,"")</f>
        <v>10</v>
      </c>
    </row>
    <row r="197" spans="2:11" ht="12" customHeight="1">
      <c r="B197" s="206" t="str">
        <f>IF(OR(D160=0,D161="　",MID(D164,1,3)&lt;&gt;"のり面"),"","補剛板")</f>
        <v>補剛板</v>
      </c>
      <c r="C197" s="210" t="str" cm="1">
        <f t="array" ref="C197">IF(OR(D160=0,D161="　",MID(D164,1,3)&lt;&gt;"のり面"),"",IF(MID(D161,4,1)="5","□"&amp;_xlfn.SWITCH(1*MID(LEFT(D161, LEN(D161)-1),6,2),1,"210φ131t12",2,"210φ131t12",3,"240φ131t12",4,"270φ131t12",5,"280φ143t12",6,"310φ143t16",7,"350φ143t19",8,"350φ180t19",9,"350φ180t19",10,"350φ180t19",11,"350φ180t22",12,"350φ180t22"),"□"&amp;_xlfn.SWITCH(1*MID(LEFT(D161, LEN(D161)-1),6,2),1,"210,φ131,t12",2,"240,φ131,t12",3,"270,φ131,t16",4,"300,φ143,t16",5,"350,φ180,t16",6,"350,φ180,t16",7,"350,φ180,t19",8,"400,φ──,t12",9,"400,φ──,t12",10,"400,φ──,t12",11,"400,φ──,t12",12,"400,φ──,t12",13,"400,φ──,t12",14,"400,φ──,t12"))&amp;"、SS400相当、防食："&amp;_xlfn.IFS(MID(D162,1,3)="防食Ⅱ","HDZT77めっき",MID(D162,5,2)="塩害","ｱﾙﾐﾅｲｽﾞ処理",MID(D162,5,2)="酸性","重防食処理"))</f>
        <v>□270φ131t12、SS400相当、防食：HDZT77めっき</v>
      </c>
      <c r="D197" s="208"/>
      <c r="E197" s="209"/>
      <c r="F197" s="217" t="str">
        <f>IF(OR(D160=0,D161="　",MID(D164,1,3)&lt;&gt;"のり面"),"","n=1")</f>
        <v>n=1</v>
      </c>
      <c r="G197" s="218"/>
      <c r="H197" s="219"/>
      <c r="I197" s="213" t="str">
        <f>IF(OR(D160=0,D161="　",B197="",MID(D164,1,3)&lt;&gt;"のり面"),"","枚")</f>
        <v>枚</v>
      </c>
      <c r="J197" s="220" t="str">
        <f>IF(OR(D160=0,D161="　"),"",MID(F197,3,2))</f>
        <v>1</v>
      </c>
      <c r="K197" s="214">
        <f>IFERROR(D160*J197,"")</f>
        <v>10</v>
      </c>
    </row>
    <row r="198" spans="2:11" ht="12" customHeight="1">
      <c r="B198" s="206" t="str" cm="1">
        <f t="array" ref="B198">_xlfn.IFS(OR(D160=0,D161="　"),"",MID(D163,1,3)="アルミ","",MID(D163,1,3)&lt;&gt;"アルミ","テンドン補修用塗料")</f>
        <v>テンドン補修用塗料</v>
      </c>
      <c r="C198" s="210" t="str" cm="1">
        <f t="array" ref="C198">_xlfn.IFS(OR(D160=0,D161="　"),"",MID(D163,1,3)="アルミ","",MID(D163,1,3)&lt;&gt;"アルミ","エポキシ樹脂")</f>
        <v>エポキシ樹脂</v>
      </c>
      <c r="D198" s="208"/>
      <c r="E198" s="209"/>
      <c r="F198" s="217" t="str" cm="1">
        <f t="array" ref="F198">_xlfn.IFS(OR(D160=0,D161="　"),"",MID(D163,1,3)="アルミ","",MID(D163,1,3)&lt;&gt;"アルミ","W=PC鋼より線本数×"&amp;IF(MID(D161,4,1)="5","0.28","0.40"))</f>
        <v>W=PC鋼より線本数×0.28</v>
      </c>
      <c r="G198" s="218"/>
      <c r="H198" s="219"/>
      <c r="I198" s="213" t="str" cm="1">
        <f t="array" ref="I198">_xlfn.IFS(OR(D160=0,D161="　"),"",MID(D163,1,3)="アルミ","",MID(D163,1,3)&lt;&gt;"アルミ","g")</f>
        <v>g</v>
      </c>
      <c r="J198" s="224" cm="1">
        <f t="array" ref="J198">_xlfn.IFS(OR(D160=0,D161="　"),"",MID(D163,1,3)="アルミ","",MID(D163,1,3)&lt;&gt;"アルミ",MID(LEFT(D161, LEN(D161)-1),6,2)*IF(MID(D161,4,1)="5",0.28,0.4))</f>
        <v>1.1200000000000001</v>
      </c>
      <c r="K198" s="214">
        <f>IFERROR(D160*J198,"")</f>
        <v>11.200000000000001</v>
      </c>
    </row>
    <row r="199" spans="2:11" ht="12" customHeight="1">
      <c r="B199" s="206" t="str" cm="1">
        <f t="array" ref="B199">_xlfn.IFS(OR(D160=0,D161="　"),"",MID(D163,1,3)="アルミ","",MID(D163,1,3)&lt;&gt;"アルミ","長期防錆スプレー")</f>
        <v>長期防錆スプレー</v>
      </c>
      <c r="C199" s="210" t="str" cm="1">
        <f t="array" ref="C199">_xlfn.IFS(OR(D160=0,D161="　"),"",MID(D163,1,3)="アルミ","",MID(D163,1,3)&lt;&gt;"アルミ","防錆オイル")</f>
        <v>防錆オイル</v>
      </c>
      <c r="D199" s="208"/>
      <c r="E199" s="209"/>
      <c r="F199" s="217" t="str" cm="1">
        <f t="array" ref="F199">_xlfn.IFS(OR(D160=0,D161="　"),"",MID(D163,1,3)="アルミ","",MID(D163,1,3)&lt;&gt;"アルミ","n=0.01×(PC鋼より線本数+"&amp;IF(MID(D161,4,1)="5","6","12")&amp;")")</f>
        <v>n=0.01×(PC鋼より線本数+6)</v>
      </c>
      <c r="G199" s="218"/>
      <c r="H199" s="219"/>
      <c r="I199" s="213" t="str" cm="1">
        <f t="array" ref="I199">_xlfn.IFS(OR(D160=0,D161="　"),"",MID(D163,1,3)="アルミ","",MID(D163,1,3)&lt;&gt;"アルミ","缶")</f>
        <v>缶</v>
      </c>
      <c r="J199" s="224" cm="1">
        <f t="array" ref="J199">_xlfn.IFS(OR(D160=0,D161="　"),"",MID(D163,1,3)="アルミ","",MID(D163,1,3)&lt;&gt;"アルミ",0.01*(MID(LEFT(D161, LEN(D161)-1),6,2)+IF(MID(D161,4,1)="5",6,12)))</f>
        <v>0.1</v>
      </c>
      <c r="K199" s="214">
        <f>IFERROR(D160*J199,"")</f>
        <v>1</v>
      </c>
    </row>
    <row r="200" spans="2:11" ht="12" customHeight="1">
      <c r="B200" s="206" t="str">
        <f>IF(OR(D160=0,D161="　",D166="なし"),"","フリーパッカー注入ホース")</f>
        <v/>
      </c>
      <c r="C200" s="207" t="str">
        <f>IF(OR(D160=0,D161="　",B200=""),"","16/20、高密度ポリエチレン")</f>
        <v/>
      </c>
      <c r="D200" s="208"/>
      <c r="E200" s="209"/>
      <c r="F200" s="210" t="str">
        <f>IF(B200="","","L=自由長+緊張部長")</f>
        <v/>
      </c>
      <c r="G200" s="211"/>
      <c r="H200" s="212"/>
      <c r="I200" s="213" t="str">
        <f>IF(OR(D160=0,D161="　",B200=""),"","m")</f>
        <v/>
      </c>
      <c r="J200" s="214" t="str">
        <f>IF(OR(D160=0,D161="　"),"",IF(B200="","",MROUND(D170+D171,0.1)))</f>
        <v/>
      </c>
      <c r="K200" s="214" t="str">
        <f>IFERROR(D160*J200,"")</f>
        <v/>
      </c>
    </row>
    <row r="201" spans="2:11" ht="12" customHeight="1">
      <c r="B201" s="225" t="str">
        <f>IF(OR(D160=0,D161="　",D166="なし"),"","フリーパッカー")</f>
        <v/>
      </c>
      <c r="C201" s="217" t="str" cm="1">
        <f t="array" ref="C201">IF(OR(D160=0,D161="　",B200=""),"",_xlfn.SWITCH(D175,90,"PA-170",115,"PA-200",135,"PA-240",146,"PA-240",165,"PA-350")&amp;"、織布")</f>
        <v/>
      </c>
      <c r="D201" s="208"/>
      <c r="E201" s="209"/>
      <c r="F201" s="226" t="str">
        <f>IF(B201="","","L=自由長+0.5m")</f>
        <v/>
      </c>
      <c r="G201" s="227"/>
      <c r="H201" s="228"/>
      <c r="I201" s="213" t="str">
        <f>IF(OR(D161=0,D162="　",B201=""),"","m")</f>
        <v/>
      </c>
      <c r="J201" s="214" t="str">
        <f>IF(OR(D160=0,D161="　"),"",IF(B201="","",MROUND(D170+0.5,0.1)))</f>
        <v/>
      </c>
      <c r="K201" s="214" t="str">
        <f>IFERROR(D160*J201,"")</f>
        <v/>
      </c>
    </row>
    <row r="202" spans="2:11" ht="12" customHeight="1">
      <c r="B202" s="206" t="str">
        <f>IF(OR(D160=0,D161="　",D166="なし"),"","パッカー取付加工")</f>
        <v/>
      </c>
      <c r="C202" s="207"/>
      <c r="D202" s="208"/>
      <c r="E202" s="209"/>
      <c r="F202" s="217" t="str">
        <f>IF(B202="","","n=1")</f>
        <v/>
      </c>
      <c r="G202" s="218"/>
      <c r="H202" s="219"/>
      <c r="I202" s="213" t="str">
        <f>IF(OR(D162=0,D163="　",B202=""),"","式")</f>
        <v/>
      </c>
      <c r="J202" s="220" t="str">
        <f>IF(OR(D160=0,D161="　"),"",MID(F202,3,2))</f>
        <v/>
      </c>
      <c r="K202" s="206" t="str">
        <f>IFERROR(D160*J202,"")</f>
        <v/>
      </c>
    </row>
    <row r="203" spans="2:11" ht="12" customHeight="1">
      <c r="B203" s="229"/>
      <c r="C203" s="230"/>
      <c r="D203" s="231"/>
      <c r="E203" s="232"/>
      <c r="F203" s="233"/>
      <c r="G203" s="234"/>
      <c r="H203" s="235"/>
      <c r="I203" s="236"/>
      <c r="J203" s="237"/>
      <c r="K203" s="229"/>
    </row>
    <row r="204" spans="2:11" ht="12" customHeight="1">
      <c r="B204" s="238" t="s">
        <v>30</v>
      </c>
      <c r="C204" s="239" t="s">
        <v>31</v>
      </c>
      <c r="D204" s="240"/>
      <c r="E204" s="241"/>
      <c r="F204" s="242" t="s">
        <v>157</v>
      </c>
      <c r="G204" s="243"/>
      <c r="H204" s="244"/>
      <c r="I204" s="245" t="s">
        <v>55</v>
      </c>
      <c r="J204" s="246">
        <f>IFERROR(MROUND(0.25*PI()*(0.001*D175)^2*(D168+D169+D174)*(1+2.2),0.01),"")</f>
        <v>0.17</v>
      </c>
      <c r="K204" s="246">
        <f>IFERROR(D160*J204,"")</f>
        <v>1.7000000000000002</v>
      </c>
    </row>
    <row r="206" spans="2:11" ht="12" customHeight="1">
      <c r="B206" s="247" t="s">
        <v>136</v>
      </c>
      <c r="C206" s="247"/>
      <c r="D206" s="247"/>
      <c r="F206" s="163"/>
      <c r="G206" s="164"/>
      <c r="H206" s="164"/>
    </row>
    <row r="207" spans="2:11" ht="12" customHeight="1">
      <c r="B207" s="15" t="s">
        <v>111</v>
      </c>
      <c r="C207" s="15"/>
      <c r="D207" s="1"/>
      <c r="E207" s="1"/>
      <c r="H207" s="119"/>
      <c r="J207" s="118"/>
    </row>
    <row r="208" spans="2:11" ht="12" customHeight="1">
      <c r="B208" s="165" t="s">
        <v>163</v>
      </c>
      <c r="C208" s="3"/>
      <c r="D208" s="1"/>
      <c r="E208" s="1"/>
      <c r="F208" s="8"/>
      <c r="G208" s="8"/>
      <c r="H208" s="102"/>
      <c r="I208" s="28"/>
      <c r="J208" s="118"/>
    </row>
    <row r="209" spans="2:13" ht="12" customHeight="1">
      <c r="B209" s="15" t="s">
        <v>40</v>
      </c>
      <c r="C209" s="3"/>
      <c r="D209" s="1"/>
      <c r="E209" s="1"/>
      <c r="F209" s="15" t="s">
        <v>54</v>
      </c>
      <c r="G209" s="15"/>
      <c r="H209" s="102"/>
      <c r="I209" s="28"/>
    </row>
    <row r="210" spans="2:13" ht="12" customHeight="1">
      <c r="B210" s="2" t="s">
        <v>53</v>
      </c>
      <c r="C210" s="2" t="s">
        <v>21</v>
      </c>
      <c r="D210" s="2" t="s">
        <v>22</v>
      </c>
      <c r="E210" s="17"/>
      <c r="F210" s="49" t="s">
        <v>41</v>
      </c>
      <c r="G210" s="97" t="s">
        <v>59</v>
      </c>
      <c r="H210" s="49" t="s">
        <v>44</v>
      </c>
      <c r="I210" s="2" t="s">
        <v>21</v>
      </c>
      <c r="J210" s="49" t="s">
        <v>138</v>
      </c>
      <c r="K210" s="2" t="s">
        <v>28</v>
      </c>
    </row>
    <row r="211" spans="2:13" ht="12" customHeight="1">
      <c r="B211" s="166" t="s">
        <v>25</v>
      </c>
      <c r="C211" s="18" t="s">
        <v>24</v>
      </c>
      <c r="D211" s="167">
        <v>10</v>
      </c>
      <c r="E211" s="19"/>
      <c r="F211" s="168" t="s">
        <v>43</v>
      </c>
      <c r="G211" s="169" t="s">
        <v>113</v>
      </c>
      <c r="H211" s="88" t="str" cm="1">
        <f t="array" ref="H211">_xlfn.IFS(AND(F211&lt;&gt;"非削孔",F211&lt;&gt;"無設定"),D226,F211="非削孔",IF(MID(D215,1,3)="土留め","非削孔","箱抜き"),F211="無設定","無設定")</f>
        <v>箱抜き</v>
      </c>
      <c r="I211" s="23" t="str">
        <f>IF(F211="無設定","","m")</f>
        <v>m</v>
      </c>
      <c r="J211" s="170">
        <v>0.5</v>
      </c>
      <c r="K211" s="30">
        <f>D211*J211</f>
        <v>5</v>
      </c>
    </row>
    <row r="212" spans="2:13" ht="12" customHeight="1">
      <c r="B212" s="171" t="s">
        <v>37</v>
      </c>
      <c r="C212" s="50" t="s">
        <v>38</v>
      </c>
      <c r="D212" s="172" t="s">
        <v>159</v>
      </c>
      <c r="E212" s="173"/>
      <c r="F212" s="174" t="s">
        <v>49</v>
      </c>
      <c r="G212" s="169" t="s">
        <v>114</v>
      </c>
      <c r="H212" s="88" cm="1">
        <f t="array" ref="H212">_xlfn.IFS(AND(F212&lt;&gt;"非削孔",F212&lt;&gt;"無設定"),D226,F212="非削孔","箱抜き",F212="無設定","無設定")</f>
        <v>90</v>
      </c>
      <c r="I212" s="23" t="str">
        <f t="shared" ref="I212:I220" si="8">IF(F212="無設定","","m")</f>
        <v>m</v>
      </c>
      <c r="J212" s="170">
        <v>2.64</v>
      </c>
      <c r="K212" s="30">
        <f>D211*J212</f>
        <v>26.400000000000002</v>
      </c>
    </row>
    <row r="213" spans="2:13" ht="12" customHeight="1">
      <c r="B213" s="52" t="s">
        <v>39</v>
      </c>
      <c r="C213" s="91" t="s">
        <v>38</v>
      </c>
      <c r="D213" s="175" t="s">
        <v>60</v>
      </c>
      <c r="E213" s="140"/>
      <c r="F213" s="174" t="s">
        <v>49</v>
      </c>
      <c r="G213" s="169" t="s">
        <v>115</v>
      </c>
      <c r="H213" s="88" cm="1">
        <f t="array" ref="H213">_xlfn.IFS(AND(F213&lt;&gt;"非削孔",F213&lt;&gt;"無設定"),D226,F213="非削孔","箱抜き",F213="無設定","無設定")</f>
        <v>90</v>
      </c>
      <c r="I213" s="23" t="str">
        <f t="shared" si="8"/>
        <v>m</v>
      </c>
      <c r="J213" s="170">
        <v>5.36</v>
      </c>
      <c r="K213" s="30">
        <f>D211*J213</f>
        <v>53.6</v>
      </c>
    </row>
    <row r="214" spans="2:13" ht="12" customHeight="1">
      <c r="B214" s="147" t="s">
        <v>140</v>
      </c>
      <c r="C214" s="91" t="s">
        <v>38</v>
      </c>
      <c r="D214" s="176" t="s">
        <v>141</v>
      </c>
      <c r="E214" s="141"/>
      <c r="F214" s="174" t="s">
        <v>48</v>
      </c>
      <c r="G214" s="169"/>
      <c r="H214" s="88" t="str" cm="1">
        <f t="array" ref="H214">_xlfn.IFS(AND(F214&lt;&gt;"非削孔",F214&lt;&gt;"無設定"),D226,F214="非削孔","箱抜き",F214="無設定","無設定")</f>
        <v>無設定</v>
      </c>
      <c r="I214" s="23" t="str">
        <f t="shared" si="8"/>
        <v/>
      </c>
      <c r="J214" s="170">
        <v>0</v>
      </c>
      <c r="K214" s="30">
        <f>D211*J214</f>
        <v>0</v>
      </c>
      <c r="M214" s="112"/>
    </row>
    <row r="215" spans="2:13" ht="12" customHeight="1">
      <c r="B215" s="147" t="s">
        <v>142</v>
      </c>
      <c r="C215" s="91" t="s">
        <v>38</v>
      </c>
      <c r="D215" s="177" t="s">
        <v>160</v>
      </c>
      <c r="E215" s="21"/>
      <c r="F215" s="174" t="s">
        <v>48</v>
      </c>
      <c r="G215" s="169"/>
      <c r="H215" s="88" t="str" cm="1">
        <f t="array" ref="H215">_xlfn.IFS(AND(F215&lt;&gt;"非削孔",F215&lt;&gt;"無設定"),D226,F215="非削孔","箱抜き",F215="無設定","無設定")</f>
        <v>無設定</v>
      </c>
      <c r="I215" s="23" t="str">
        <f t="shared" si="8"/>
        <v/>
      </c>
      <c r="J215" s="170">
        <v>0</v>
      </c>
      <c r="K215" s="30">
        <f>D211*J215</f>
        <v>0</v>
      </c>
    </row>
    <row r="216" spans="2:13" ht="12" customHeight="1">
      <c r="B216" s="114" t="str">
        <f>IF(MID(D215,1,3)="土留め",D215&amp;"の種類","")</f>
        <v/>
      </c>
      <c r="C216" s="91" t="s">
        <v>38</v>
      </c>
      <c r="D216" s="178" t="s">
        <v>71</v>
      </c>
      <c r="E216" s="21"/>
      <c r="F216" s="174" t="s">
        <v>48</v>
      </c>
      <c r="G216" s="169"/>
      <c r="H216" s="88" t="str" cm="1">
        <f t="array" ref="H216">_xlfn.IFS(AND(F216&lt;&gt;"非削孔",F216&lt;&gt;"無設定"),D226,F216="非削孔","箱抜き",F216="無設定","無設定")</f>
        <v>無設定</v>
      </c>
      <c r="I216" s="23" t="str">
        <f t="shared" si="8"/>
        <v/>
      </c>
      <c r="J216" s="170">
        <v>0</v>
      </c>
      <c r="K216" s="30">
        <f>D211*J216</f>
        <v>0</v>
      </c>
    </row>
    <row r="217" spans="2:13" ht="12" customHeight="1">
      <c r="B217" s="179" t="s">
        <v>50</v>
      </c>
      <c r="C217" s="180" t="s">
        <v>38</v>
      </c>
      <c r="D217" s="181" t="s">
        <v>51</v>
      </c>
      <c r="E217" s="182"/>
      <c r="F217" s="174" t="s">
        <v>48</v>
      </c>
      <c r="G217" s="169"/>
      <c r="H217" s="88" t="str" cm="1">
        <f t="array" ref="H217">_xlfn.IFS(AND(F217&lt;&gt;"非削孔",F217&lt;&gt;"無設定"),D226,F217="非削孔","箱抜き",F217="無設定","無設定")</f>
        <v>無設定</v>
      </c>
      <c r="I217" s="23" t="str">
        <f t="shared" si="8"/>
        <v/>
      </c>
      <c r="J217" s="170">
        <v>0</v>
      </c>
      <c r="K217" s="30">
        <f>D211*J217</f>
        <v>0</v>
      </c>
    </row>
    <row r="218" spans="2:13" ht="12" customHeight="1">
      <c r="B218" s="160" t="str" cm="1">
        <f t="array" ref="B218">"頭部自由長"&amp;_xlfn.IFS(MID(D215,1,2)="なし","",MID(D215,1,3)="受圧体","(受圧体)",MID(D215,1,3)="のり面","(角度台座＋受圧体)",MID(D215,1,3)="構造物","(壁面台座)",MID(D215,1,3)="土留め","(台座+腹起し)")&amp;"　Lfh"</f>
        <v>頭部自由長(角度台座＋受圧体)　Lfh</v>
      </c>
      <c r="C218" s="155" t="s">
        <v>23</v>
      </c>
      <c r="D218" s="183">
        <v>0.5</v>
      </c>
      <c r="E218" s="21"/>
      <c r="F218" s="174" t="s">
        <v>144</v>
      </c>
      <c r="G218" s="169"/>
      <c r="H218" s="88" cm="1">
        <f t="array" ref="H218">_xlfn.IFS(AND(F218&lt;&gt;"非削孔",F218&lt;&gt;"無設定"),D226,F218="非削孔","箱抜き",F218="無設定","無設定")</f>
        <v>90</v>
      </c>
      <c r="I218" s="23" t="str">
        <f t="shared" si="8"/>
        <v>m</v>
      </c>
      <c r="J218" s="170">
        <v>0</v>
      </c>
      <c r="K218" s="30">
        <f>D211*J218</f>
        <v>0</v>
      </c>
    </row>
    <row r="219" spans="2:13" ht="12" customHeight="1">
      <c r="B219" s="22" t="s">
        <v>108</v>
      </c>
      <c r="C219" s="23" t="s">
        <v>23</v>
      </c>
      <c r="D219" s="184">
        <v>4</v>
      </c>
      <c r="E219" s="21"/>
      <c r="F219" s="174" t="s">
        <v>48</v>
      </c>
      <c r="G219" s="169"/>
      <c r="H219" s="88" t="str" cm="1">
        <f t="array" ref="H219">_xlfn.IFS(AND(F219&lt;&gt;"非削孔",F219&lt;&gt;"無設定"),D226,F219="非削孔","箱抜き",F219="無設定","無設定")</f>
        <v>無設定</v>
      </c>
      <c r="I219" s="23" t="str">
        <f t="shared" si="8"/>
        <v/>
      </c>
      <c r="J219" s="170">
        <v>0</v>
      </c>
      <c r="K219" s="30">
        <f>D211*J219</f>
        <v>0</v>
      </c>
    </row>
    <row r="220" spans="2:13" ht="12" customHeight="1">
      <c r="B220" s="157" t="s">
        <v>36</v>
      </c>
      <c r="C220" s="158" t="s">
        <v>23</v>
      </c>
      <c r="D220" s="185">
        <v>4</v>
      </c>
      <c r="F220" s="186" t="str" cm="1">
        <f t="array" ref="F220">INDEX(F211:H219,MATCH("無設定",F211:F219,0)-1,MATCH(F210,F210:H210,0))</f>
        <v>軟　岩</v>
      </c>
      <c r="G220" s="100" t="str" cm="1">
        <f t="array" ref="G220">INDEX(F211:H219,MATCH("無設定",F211:F219,0)-1,MATCH(G210,F210:H210,0))&amp;"　(先端長 L2d)"</f>
        <v>風化岩 CL　(先端長 L2d)</v>
      </c>
      <c r="H220" s="88" cm="1">
        <f t="array" ref="H220">INDEX(F211:H219,MATCH("無設定",F211:F219,0)-1,MATCH(H210,F210:H210,0))</f>
        <v>90</v>
      </c>
      <c r="I220" s="23" t="str">
        <f t="shared" si="8"/>
        <v>m</v>
      </c>
      <c r="J220" s="98">
        <f>D225</f>
        <v>0.25</v>
      </c>
      <c r="K220" s="78">
        <f>IFERROR(D211*J220,"")</f>
        <v>2.5</v>
      </c>
    </row>
    <row r="221" spans="2:13" ht="12" customHeight="1">
      <c r="B221" s="154" t="s">
        <v>145</v>
      </c>
      <c r="C221" s="155" t="s">
        <v>23</v>
      </c>
      <c r="D221" s="187">
        <f>IF(OR(D211=0,D212="　"),"──",SUM(D218:D219))</f>
        <v>4.5</v>
      </c>
      <c r="E221" s="19"/>
      <c r="F221" s="188"/>
      <c r="G221" s="75" t="s">
        <v>124</v>
      </c>
      <c r="H221" s="103"/>
      <c r="I221" s="18" t="s">
        <v>23</v>
      </c>
      <c r="J221" s="74">
        <f>SUMIFS(J211:J220,F211:F220,"&lt;&gt;非削孔",F211:F220,"&lt;&gt;無設定")</f>
        <v>8.25</v>
      </c>
      <c r="K221" s="95">
        <f>SUMIFS(K211:K220,F211:F220,"&lt;&gt;非削孔",F211:F220,"&lt;&gt;無設定")</f>
        <v>82.5</v>
      </c>
    </row>
    <row r="222" spans="2:13" ht="12" customHeight="1">
      <c r="B222" s="146" t="s">
        <v>146</v>
      </c>
      <c r="C222" s="23" t="s">
        <v>23</v>
      </c>
      <c r="D222" s="189" cm="1">
        <f t="array" ref="D222">IF(OR(D211=0,D212="　"),"──",IF(MID(D212,4,1)="5",_xlfn.IFS(1*MID(LEFT(D212, LEN(D212)-1),6,2)&lt;8,1,1*MID(LEFT(D212, LEN(D212)-1),6,2)&lt;13,1.2),_xlfn.IFS(1*MID(LEFT(D212, LEN(D212)-1),6,2)&lt;6,1,1*MID(LEFT(D212, LEN(D212)-1),6,2)&lt;15,1.2)))</f>
        <v>1</v>
      </c>
      <c r="E222" s="19"/>
      <c r="F222" s="190"/>
      <c r="G222" s="76" t="s">
        <v>47</v>
      </c>
      <c r="H222" s="104"/>
      <c r="I222" s="79" t="s">
        <v>46</v>
      </c>
      <c r="J222" s="77" t="str">
        <f>IF(OR(D211=0,D212="　"),"",IF(SUM(D219:D220,D225)=J221,"OK","NG"))</f>
        <v>OK</v>
      </c>
      <c r="K222" s="145" t="str">
        <f>IF(J222&lt;&gt;"NG","──",J221-SUM(D219:D220,D225))</f>
        <v>──</v>
      </c>
      <c r="M222" s="144"/>
    </row>
    <row r="223" spans="2:13" ht="12" customHeight="1">
      <c r="B223" s="22" t="s">
        <v>125</v>
      </c>
      <c r="C223" s="23" t="s">
        <v>35</v>
      </c>
      <c r="D223" s="84">
        <f>IF(OR(D211=0,D212="　"),"──",0.2)</f>
        <v>0.2</v>
      </c>
      <c r="F223" s="191" t="s">
        <v>58</v>
      </c>
      <c r="G223" s="248" t="s">
        <v>110</v>
      </c>
      <c r="H223" s="249"/>
      <c r="I223" s="249"/>
      <c r="J223" s="249"/>
      <c r="K223" s="250"/>
    </row>
    <row r="224" spans="2:13" ht="12" customHeight="1">
      <c r="B224" s="6" t="s">
        <v>147</v>
      </c>
      <c r="C224" s="23" t="s">
        <v>23</v>
      </c>
      <c r="D224" s="60">
        <f>IF(OR(D211=0,D212="　"),"──",SUM(D220:D223))</f>
        <v>9.6999999999999993</v>
      </c>
    </row>
    <row r="225" spans="2:12" ht="12" customHeight="1">
      <c r="B225" s="25" t="s">
        <v>127</v>
      </c>
      <c r="C225" s="26" t="s">
        <v>23</v>
      </c>
      <c r="D225" s="27">
        <f>IF(OR(D211=0,D212="　"),"──",0.25)</f>
        <v>0.25</v>
      </c>
      <c r="F225" s="8"/>
      <c r="G225" s="8"/>
      <c r="H225" s="102"/>
    </row>
    <row r="226" spans="2:12" ht="12" customHeight="1">
      <c r="B226" s="95" t="s">
        <v>123</v>
      </c>
      <c r="C226" s="18" t="s">
        <v>32</v>
      </c>
      <c r="D226" s="192">
        <v>90</v>
      </c>
      <c r="E226" s="193" t="str">
        <f>IF(D226&lt;D227,"NG：削孔径不適合","")</f>
        <v/>
      </c>
      <c r="F226" s="8"/>
      <c r="G226" s="8"/>
      <c r="H226" s="102"/>
    </row>
    <row r="227" spans="2:12" ht="12" customHeight="1">
      <c r="B227" s="25" t="s">
        <v>122</v>
      </c>
      <c r="C227" s="26" t="s">
        <v>32</v>
      </c>
      <c r="D227" s="194" cm="1">
        <f t="array" ref="D227">IF(OR(D211=0,D212="　"),"──",IF(D217="なし",IF(MID(D212,4,1)="5",_xlfn.IFS(1*MID(LEFT(D212, LEN(D212)-1),6,2)&lt;6,90,1*MID(LEFT(D212, LEN(D212)-1),6,2)&lt;9,115,1*MID(LEFT(D212, LEN(D212)-1),6,2)&gt;8,135),_xlfn.IFS(1*MID(LEFT(D212, LEN(D212)-1),6,2)&lt;4,90,1*MID(LEFT(D212, LEN(D212)-1),6,2)&lt;7,115,1*MID(LEFT(D212, LEN(D212)-1),6,2)&lt;10,135,1*MID(LEFT(D212, LEN(D212)-1),6,2)&lt;13,146,1*MID(LEFT(D212, LEN(D212)-1),6,2)&gt;12,165)),IF(MID(D212,4,1)="5",_xlfn.IFS(1*MID(LEFT(D212, LEN(D212)-1),6,2)&lt;3,90,1*MID(LEFT(D212, LEN(D212)-1),6,2)&lt;7,115,1*MID(LEFT(D212, LEN(D212)-1),6,2)&lt;9,135,1*MID(LEFT(D212, LEN(D212)-1),6,2)&gt;8,146),_xlfn.IFS(1*MID(LEFT(D212, LEN(D212)-1),6,2)&lt;3,90,1*MID(LEFT(D212, LEN(D212)-1),6,2)&lt;4,115,1*MID(LEFT(D212, LEN(D212)-1),6,2)&lt;6,135,1*MID(LEFT(D212, LEN(D212)-1),6,2)&lt;10,146,1*MID(LEFT(D212, LEN(D212)-1),6,2)&lt;13,165,1*MID(LEFT(D212, LEN(D212)-1),6,2)&gt;12,216))))</f>
        <v>90</v>
      </c>
      <c r="E227" s="195"/>
      <c r="F227" s="8"/>
      <c r="G227" s="8"/>
      <c r="H227" s="102"/>
    </row>
    <row r="228" spans="2:12" ht="12" customHeight="1">
      <c r="B228" s="20"/>
      <c r="C228" s="46"/>
      <c r="D228" s="117"/>
      <c r="F228" s="8"/>
      <c r="G228" s="8"/>
      <c r="H228" s="102"/>
    </row>
    <row r="229" spans="2:12" ht="12" customHeight="1">
      <c r="B229" s="15" t="str">
        <f>"■"&amp;MID(B206,2,14)</f>
        <v>■本設：EHDアンカーHP工法</v>
      </c>
      <c r="C229" s="3"/>
      <c r="D229" s="1"/>
      <c r="E229" s="1"/>
      <c r="F229" s="8"/>
      <c r="G229" s="8"/>
      <c r="H229" s="102"/>
    </row>
    <row r="230" spans="2:12" ht="12" customHeight="1">
      <c r="B230" s="2" t="s">
        <v>17</v>
      </c>
      <c r="C230" s="43"/>
      <c r="D230" s="196" t="s">
        <v>148</v>
      </c>
      <c r="E230" s="135"/>
      <c r="F230" s="16"/>
      <c r="G230" s="61" t="s">
        <v>42</v>
      </c>
      <c r="H230" s="97"/>
      <c r="I230" s="2" t="s">
        <v>21</v>
      </c>
      <c r="J230" s="49" t="s">
        <v>149</v>
      </c>
      <c r="K230" s="2" t="s">
        <v>28</v>
      </c>
    </row>
    <row r="231" spans="2:12" ht="12" customHeight="1">
      <c r="B231" s="197" t="s">
        <v>150</v>
      </c>
      <c r="C231" s="198" t="str">
        <f>IF(OR(D211=0,D212="　"),"",D212&amp;" ("&amp;MID(LEFT(D212, LEN(D212)-1),6,2)&amp;IF(MID(D212,4,1)="5","φ12.7","φ15.2")&amp;")")</f>
        <v>EHD5-4H (4φ12.7)</v>
      </c>
      <c r="D231" s="199"/>
      <c r="E231" s="200"/>
      <c r="F231" s="201" t="str">
        <f>"W=テンドン長×PC鋼より線本数×"&amp;IF(MID(D212,4,1)="5","0.774","1.101")&amp;"kg/m"</f>
        <v>W=テンドン長×PC鋼より線本数×0.774kg/m</v>
      </c>
      <c r="G231" s="202"/>
      <c r="H231" s="203"/>
      <c r="I231" s="204" t="s">
        <v>11</v>
      </c>
      <c r="J231" s="205">
        <f>IF(OR(D211=0,D212="　"),"",MROUND(D224*MID(LEFT(D212, LEN(D212)-1),6,2)*IF(MID(D212,4,1)="5","0.774","1.101"),0.01))</f>
        <v>30.03</v>
      </c>
      <c r="K231" s="205">
        <f>IFERROR(D211*J231,"")</f>
        <v>300.3</v>
      </c>
      <c r="L231" s="13"/>
    </row>
    <row r="232" spans="2:12" ht="12" customHeight="1">
      <c r="B232" s="206" t="s">
        <v>151</v>
      </c>
      <c r="C232" s="207"/>
      <c r="D232" s="208"/>
      <c r="E232" s="209"/>
      <c r="F232" s="210" t="s">
        <v>33</v>
      </c>
      <c r="G232" s="211"/>
      <c r="H232" s="212"/>
      <c r="I232" s="213" t="s">
        <v>12</v>
      </c>
      <c r="J232" s="214">
        <f>IF(OR(D211=0,D212="　"),"",MROUND(D224,0.1))</f>
        <v>9.7000000000000011</v>
      </c>
      <c r="K232" s="214">
        <f>IFERROR(D211*J232,"")</f>
        <v>97.000000000000014</v>
      </c>
    </row>
    <row r="233" spans="2:12" ht="12" customHeight="1">
      <c r="B233" s="206" t="str">
        <f>"頭部キャップ"</f>
        <v>頭部キャップ</v>
      </c>
      <c r="C233" s="207" t="str" cm="1">
        <f t="array" ref="C233">IF(OR(D211=0,D212="　"),"",IF(MID(D212,4,1)="5",_xlfn.SWITCH(1*MID(LEFT(D212, LEN(D212)-1),6,2),1,"S",2,"S",3,"S",4,"S",5,"M",6,"M",7,"M",8,"L",9,"L",10,"L",11,"L",12,"L"),_xlfn.SWITCH(1*MID(LEFT(D212, LEN(D212)-1),6,2),1,"S",2,"S",3,"M",4,"M",5,"L",6,"L",7,"L",8,"LL",9,"LL",10,"LL",11,"LL",12,"LL",13,"LL",14,"LL"))&amp;"型"&amp;D214&amp;IF(OR(MID(D214,1,2)="透明",MID(D214,1,2)="5窓"),"、PC樹脂","")&amp;"、ｱﾙﾐAC4C相当"&amp;_xlfn.IFS(MID(D213,1,3)="防食Ⅱ","",MID(D213,5,2)="塩害","、防食：ﾀｹｺｰﾄ処理",MID(D213,5,2)="酸性","、防食：重防食処理"))</f>
        <v>S型透明キャップ、PC樹脂、ｱﾙﾐAC4C相当</v>
      </c>
      <c r="D233" s="215"/>
      <c r="E233" s="216"/>
      <c r="F233" s="217" t="str">
        <f t="shared" ref="F233:F239" si="9">"n=1"</f>
        <v>n=1</v>
      </c>
      <c r="G233" s="218"/>
      <c r="H233" s="219"/>
      <c r="I233" s="213" t="s">
        <v>13</v>
      </c>
      <c r="J233" s="220" t="str">
        <f>IF(OR(D211=0,D212="　"),"",MID(F233,3,2))</f>
        <v>1</v>
      </c>
      <c r="K233" s="214">
        <f>IFERROR(D211*J233,"")</f>
        <v>10</v>
      </c>
    </row>
    <row r="234" spans="2:12" ht="12" customHeight="1">
      <c r="B234" s="206" t="s">
        <v>5</v>
      </c>
      <c r="C234" s="207" t="str" cm="1">
        <f t="array" ref="C234">IF(OR(D211=0,D212="　"),"",IF(MID(D212,4,1)="5","G5"&amp;_xlfn.SWITCH(1*MID(LEFT(D212, LEN(D212)-1),6,2),1,"01",2,"02",3,"03",4,"04",5,"07",6,"07",7,"07",8,"09",9,"09",10,"12",11,"12",12,"12"),"G6"&amp;_xlfn.SWITCH(1*MID(LEFT(D212, LEN(D212)-1),6,2),1,"01",2,"02",3,"03",4,"04",5,"07",6,"07",7,"07",8,"09",9,"09",10,"12",11,"12",12,"12",13,"14",14,"14"))&amp;"、S45C相当"&amp;IF(MID(D214,1,3)&lt;&gt;"アルミ","、防食：無電解Niめっき",""))</f>
        <v>G504、S45C相当、防食：無電解Niめっき</v>
      </c>
      <c r="D234" s="208"/>
      <c r="E234" s="209"/>
      <c r="F234" s="217" t="str">
        <f t="shared" si="9"/>
        <v>n=1</v>
      </c>
      <c r="G234" s="218"/>
      <c r="H234" s="219"/>
      <c r="I234" s="213" t="s">
        <v>13</v>
      </c>
      <c r="J234" s="220" t="str">
        <f>IF(OR(D211=0,D212="　"),"",MID(F234,3,2))</f>
        <v>1</v>
      </c>
      <c r="K234" s="214">
        <f>IFERROR(D211*J234,"")</f>
        <v>10</v>
      </c>
    </row>
    <row r="235" spans="2:12" ht="12" customHeight="1">
      <c r="B235" s="206" t="s">
        <v>152</v>
      </c>
      <c r="C235" s="207" t="str" cm="1">
        <f t="array" ref="C235">IF(OR(D211=0,D212="　"),"",IF(MID(D212,4,1)="5","G5"&amp;_xlfn.SWITCH(1*MID(LEFT(D212, LEN(D212)-1),6,2),1,"01",2,"02",3,"03",4,"04",5,"07",6,"07",7,"07",8,"09",9,"09",10,"12",11,"12",12,"12"),"G6"&amp;_xlfn.SWITCH(1*MID(LEFT(D212, LEN(D212)-1),6,2),1,"01",2,"02",3,"03",4,"04",5,"07",6,"07",7,"07",8,"09",9,"09",10,"12",11,"12",12,"12",13,"14",14,"14"))&amp;"、S45C相当"&amp;IF(MID(D214,1,3)&lt;&gt;"アルミ","、防食：無電解Niめっき",""))</f>
        <v>G504、S45C相当、防食：無電解Niめっき</v>
      </c>
      <c r="D235" s="208"/>
      <c r="E235" s="209"/>
      <c r="F235" s="217" t="str">
        <f t="shared" si="9"/>
        <v>n=1</v>
      </c>
      <c r="G235" s="218"/>
      <c r="H235" s="219"/>
      <c r="I235" s="213" t="s">
        <v>13</v>
      </c>
      <c r="J235" s="220" t="str">
        <f>IF(OR(D211=0,D212="　"),"",MID(F235,3,2))</f>
        <v>1</v>
      </c>
      <c r="K235" s="214">
        <f>IFERROR(D211*J235,"")</f>
        <v>10</v>
      </c>
    </row>
    <row r="236" spans="2:12" ht="12" customHeight="1">
      <c r="B236" s="206" t="s">
        <v>7</v>
      </c>
      <c r="C236" s="207" t="str">
        <f>IF(OR(D211=0,D212="　"),"",IF(1*MID(D212,4,1)=5,"ECF12.7","ECF15.2")&amp;"、SCM415相当"&amp;IF(MID(D214,1,3)&lt;&gt;"アルミ","、防食：無電解Niめっき",""))</f>
        <v>ECF12.7、SCM415相当、防食：無電解Niめっき</v>
      </c>
      <c r="D236" s="208"/>
      <c r="E236" s="209"/>
      <c r="F236" s="217" t="str">
        <f t="shared" si="9"/>
        <v>n=1</v>
      </c>
      <c r="G236" s="218"/>
      <c r="H236" s="219"/>
      <c r="I236" s="213" t="s">
        <v>27</v>
      </c>
      <c r="J236" s="220" t="str">
        <f>IF(OR(D211=0,D212="　"),"",MID(F236,3,2))</f>
        <v>1</v>
      </c>
      <c r="K236" s="214">
        <f>IFERROR(D211*J236,"")</f>
        <v>10</v>
      </c>
    </row>
    <row r="237" spans="2:12" ht="12" customHeight="1">
      <c r="B237" s="206" t="s">
        <v>153</v>
      </c>
      <c r="C237" s="207" t="str" cm="1">
        <f t="array" ref="C237">IF(OR(D211=0,D212="　"),"",IF(MID(D212,4,1)="5","G5"&amp;_xlfn.SWITCH(1*MID(LEFT(D212, LEN(D212)-1),6,2),1,"01",2,"04",3,"03",4,"04",5,"07",6,"07",7,"07",8,"12",9,"12",10,"12",11,"12",12,"12"),"G6"&amp;_xlfn.SWITCH(1*MID(LEFT(D212, LEN(D212)-1),6,2),1,"01",2,"02",3,"03",4,"04",5,"07",6,"07",7,"07",8,"12",9,"12",10,"12",11,"12",12,"12",13,"14",14,"14"))&amp;"、SS400相当、防食："&amp;_xlfn.IFS(MID(D213,1,3)="防食Ⅱ","HDZT77めっき",MID(D213,5,2)="塩害","ｱﾙﾐﾅｲｽﾞ処理",MID(D213,5,2)="酸性","重防食処理"))</f>
        <v>G504、SS400相当、防食：HDZT77めっき</v>
      </c>
      <c r="D237" s="208"/>
      <c r="E237" s="209"/>
      <c r="F237" s="217" t="str">
        <f t="shared" si="9"/>
        <v>n=1</v>
      </c>
      <c r="G237" s="218"/>
      <c r="H237" s="219"/>
      <c r="I237" s="213" t="s">
        <v>16</v>
      </c>
      <c r="J237" s="220" t="str">
        <f>IF(OR(D211=0,D212="　"),"",MID(F237,3,2))</f>
        <v>1</v>
      </c>
      <c r="K237" s="214">
        <f>IFERROR(D211*J237,"")</f>
        <v>10</v>
      </c>
    </row>
    <row r="238" spans="2:12" ht="12" customHeight="1">
      <c r="B238" s="206" t="str">
        <f>IF(MID(D215,1,3)="のり面","管付","")&amp;"支圧板"</f>
        <v>管付支圧板</v>
      </c>
      <c r="C238" s="221" t="str" cm="1">
        <f t="array" ref="C238">IF(OR(D211=0,D212="　"),"","PL"&amp;IF(MID(D215,1,3)="のり面","P","")&amp;IF(MID(D212,4,1)="5","5-"&amp;_xlfn.SWITCH(1*MID(LEFT(D212, LEN(D212)-1),6,2),1,"1",2,"2",3,"3",4,"4",5,"5",6,"6",7,"7",8,"9",9,"9",10,"10",11,"11",12,"12"),"6-"&amp;_xlfn.SWITCH(1*MID(LEFT(D212, LEN(D212)-1),6,2),1,"1",2,"2",3,"3",4,"4",5,"6",6,"6",7,"7",8,"8",9,"9",10,"10",11,"11",12,"12",13,"14",14,"14"))&amp;"、SS400相当、防食："&amp;_xlfn.IFS(MID(D213,1,3)="防食Ⅱ","HDZT77めっき",MID(D213,5,2)="塩害","ｱﾙﾐﾅｲｽﾞ処理",MID(D213,5,2)="酸性","重防食処理"))</f>
        <v>PLP5-4、SS400相当、防食：HDZT77めっき</v>
      </c>
      <c r="D238" s="208"/>
      <c r="E238" s="209"/>
      <c r="F238" s="217" t="str">
        <f t="shared" si="9"/>
        <v>n=1</v>
      </c>
      <c r="G238" s="218"/>
      <c r="H238" s="219"/>
      <c r="I238" s="213" t="s">
        <v>16</v>
      </c>
      <c r="J238" s="220" t="str">
        <f>IF(OR(D211=0,D212="　"),"",MID(F238,3,2))</f>
        <v>1</v>
      </c>
      <c r="K238" s="214">
        <f>IFERROR(D211*J238,"")</f>
        <v>10</v>
      </c>
    </row>
    <row r="239" spans="2:12" ht="12" customHeight="1">
      <c r="B239" s="206" t="s">
        <v>154</v>
      </c>
      <c r="C239" s="207" t="str">
        <f>IF(OR(D211=0,D212="　"),"","G"&amp;MID(LEFT(D212, LEN(D212)-1),4,4)&amp;"、NBR45相当")</f>
        <v>G5-4、NBR45相当</v>
      </c>
      <c r="D239" s="208"/>
      <c r="E239" s="209"/>
      <c r="F239" s="217" t="str">
        <f t="shared" si="9"/>
        <v>n=1</v>
      </c>
      <c r="G239" s="218"/>
      <c r="H239" s="219"/>
      <c r="I239" s="213" t="s">
        <v>13</v>
      </c>
      <c r="J239" s="220" t="str">
        <f>IF(OR(D211=0,D212="　"),"",MID(F239,3,2))</f>
        <v>1</v>
      </c>
      <c r="K239" s="214">
        <f>IFERROR(D211*J239,"")</f>
        <v>10</v>
      </c>
    </row>
    <row r="240" spans="2:12" ht="12" customHeight="1">
      <c r="B240" s="206" t="str" cm="1">
        <f t="array" ref="B240">_xlfn.IFS(OR(D211=0,D212="　"),"",MID(D214,1,3)="アルミ","頭部防錆油",MID(D214,1,3)&lt;&gt;"アルミ","余長キャップ")</f>
        <v>余長キャップ</v>
      </c>
      <c r="C240" s="221" t="str" cm="1">
        <f t="array" ref="C240">_xlfn.IFS(OR(D211=0,D212="　"),"",MID(D214,1,3)="アルミ","PCコートC",MID(D214,1,3)&lt;&gt;"アルミ","TC"&amp;MID(D212,4,1)&amp;"、高密度ポチエチレン")</f>
        <v>TC5、高密度ポチエチレン</v>
      </c>
      <c r="D240" s="208"/>
      <c r="E240" s="209"/>
      <c r="F240" s="217" t="str" cm="1">
        <f t="array" ref="F240">_xlfn.IFS(OR(D211=0,D212="　"),"",MID(D214,1,3)="アルミ","W="&amp;IF(MID(D212,4,1)="5",_xlfn.SWITCH(1*MID(LEFT(D212, LEN(D212)-1),6,2),1,1.9,2,1.3,3,1.3,4,1.3,5,1.6,6,1.6,7,1.6,8,3.1,9,3.1,10,3.1,11,3.1,12,3.1),"G6"&amp;_xlfn.SWITCH(1*MID(LEFT(D212, LEN(D212)-1),6,2),1,1.8,2,1.3,3,1.8,4,1.8,5,3.3,6,3.3,7,3.3,8,9.9,9,9.9,10,9.9,11,9.9,12,9.9,13,9.9,14,9.9)),MID(D214,1,3)&lt;&gt;"アルミ","n=1")</f>
        <v>n=1</v>
      </c>
      <c r="G240" s="218"/>
      <c r="H240" s="219"/>
      <c r="I240" s="213" t="str" cm="1">
        <f t="array" ref="I240">_xlfn.IFS(OR(D211=0,D212="　"),"",MID(D214,1,3)="アルミ","kg",MID(D214,1,3)&lt;&gt;"アルミ","式")</f>
        <v>式</v>
      </c>
      <c r="J240" s="220" t="str">
        <f>IF(OR(D211=0,D212="　"),"",MID(F240,3,4))</f>
        <v>1</v>
      </c>
      <c r="K240" s="214">
        <f>IFERROR(D211*J240,"")</f>
        <v>10</v>
      </c>
    </row>
    <row r="241" spans="2:11" ht="12" customHeight="1">
      <c r="B241" s="206" t="s">
        <v>9</v>
      </c>
      <c r="C241" s="207" t="str" cm="1">
        <f t="array" ref="C241">IF(OR(D211=0,D212="　"),"",IF(MID(D212,4,1)="5","PS5-"&amp;_xlfn.SWITCH(1*MID(LEFT(D212, LEN(D212)-1),6,2),1,"7",2,"2",3,"3",4,"4",5,"7",6,"7",7,"7",8,"12",9,"12",10,"12",11,"12",12,"12"),"PS6-"&amp;_xlfn.SWITCH(1*MID(LEFT(D212, LEN(D212)-1),6,2),1,"7",2,"2",3,"3",4,"4",5,"7",6,"7",7,"7",8,"12",9,"12",10,"12",11,"12",12,"12",13,"14",14,"14"))&amp;"、高密度ポリエチレン")</f>
        <v>PS5-4、高密度ポリエチレン</v>
      </c>
      <c r="D241" s="208"/>
      <c r="E241" s="209"/>
      <c r="F241" s="217" t="str">
        <f>"n=2"</f>
        <v>n=2</v>
      </c>
      <c r="G241" s="218"/>
      <c r="H241" s="219"/>
      <c r="I241" s="213" t="s">
        <v>13</v>
      </c>
      <c r="J241" s="220" t="str">
        <f>IF(OR(D211=0,D212="　"),"",MID(F241,3,2))</f>
        <v>2</v>
      </c>
      <c r="K241" s="214">
        <f>IFERROR(D211*J241,"")</f>
        <v>20</v>
      </c>
    </row>
    <row r="242" spans="2:11" ht="12" customHeight="1">
      <c r="B242" s="206" t="s">
        <v>2</v>
      </c>
      <c r="C242" s="207" t="str" cm="1">
        <f t="array" ref="C242">IF(OR(D211=0,D212="　"),"",IF(MID(D212,4,1)="5","S5-"&amp;_xlfn.IFS(1*MID(LEFT(D212, LEN(D212)-1),6,2)&lt;6,"5",1*MID(LEFT(D212, LEN(D212)-1),6,2)&lt;9,"8",1*MID(LEFT(D212, LEN(D212)-1),6,2)&gt;8,"12"),"S6-"&amp;_xlfn.IFS(1*MID(LEFT(D212, LEN(D212)-1),6,2)&lt;4,"3",1*MID(LEFT(D212, LEN(D212)-1),6,2)&lt;7,"6",1*MID(LEFT(D212, LEN(D212)-1),6,2)&lt;10,"9",1*MID(LEFT(D212, LEN(D212)-1),6,2)&lt;13,"12",1*MID(LEFT(D212, LEN(D212)-1),6,2)&gt;12,"14"))&amp;"、ポリプロピレン")</f>
        <v>S5-5、ポリプロピレン</v>
      </c>
      <c r="D242" s="208"/>
      <c r="E242" s="209"/>
      <c r="F242" s="222" t="s">
        <v>155</v>
      </c>
      <c r="G242" s="211"/>
      <c r="H242" s="212"/>
      <c r="I242" s="213" t="s">
        <v>13</v>
      </c>
      <c r="J242" s="206">
        <f>IF(OR(D211=0,D212="　"),"",MROUND((D220-0.4)/1,1))</f>
        <v>4</v>
      </c>
      <c r="K242" s="214">
        <f>IFERROR(D211*J242,"")</f>
        <v>40</v>
      </c>
    </row>
    <row r="243" spans="2:11" ht="12" customHeight="1">
      <c r="B243" s="206" t="s">
        <v>1</v>
      </c>
      <c r="C243" s="207" t="str" cm="1">
        <f t="array" ref="C243">IF(OR(D211=0,D212="　"),"",IF(MID(D212,4,1)="5","PC5-"&amp;_xlfn.IFS(1*MID(LEFT(D212, LEN(D212)-1),6,2)&lt;5,"4",1*MID(LEFT(D212, LEN(D212)-1),6,2)&lt;8,"7",1*MID(LEFT(D212, LEN(D212)-1),6,2)&lt;10,"9",1*MID(LEFT(D212, LEN(D212)-1),6,2)&gt;9,"12"),"PC6-"&amp;_xlfn.IFS(1*MID(LEFT(D212, LEN(D212)-1),6,2)&lt;4,"3",1*MID(LEFT(D212, LEN(D212)-1),6,2)&lt;8,"7",1*MID(LEFT(D212, LEN(D212)-1),6,2)&lt;13,"12",1*MID(LEFT(D212, LEN(D212)-1),6,2)&gt;12,"14"))&amp;"、ポリプロピレン")</f>
        <v>PC5-4、ポリプロピレン</v>
      </c>
      <c r="D243" s="208"/>
      <c r="E243" s="209"/>
      <c r="F243" s="217" t="str">
        <f>"n=1"</f>
        <v>n=1</v>
      </c>
      <c r="G243" s="218"/>
      <c r="H243" s="219"/>
      <c r="I243" s="213" t="s">
        <v>13</v>
      </c>
      <c r="J243" s="220" t="str">
        <f>IF(OR(D211=0,D212="　"),"",MID(F243,3,2))</f>
        <v>1</v>
      </c>
      <c r="K243" s="214">
        <f>IFERROR(D211*J243,"")</f>
        <v>10</v>
      </c>
    </row>
    <row r="244" spans="2:11" ht="12" customHeight="1">
      <c r="B244" s="206" t="s">
        <v>3</v>
      </c>
      <c r="C244" s="207" t="str">
        <f>IF(OR(D211=0,D212="　"),"","66ナイロン")</f>
        <v>66ナイロン</v>
      </c>
      <c r="D244" s="208"/>
      <c r="E244" s="209"/>
      <c r="F244" s="222" t="s">
        <v>156</v>
      </c>
      <c r="G244" s="211"/>
      <c r="H244" s="212"/>
      <c r="I244" s="213" t="s">
        <v>14</v>
      </c>
      <c r="J244" s="206">
        <f>IF(OR(D211=0,D212="　"),"",2*J242)</f>
        <v>8</v>
      </c>
      <c r="K244" s="214">
        <f>IFERROR(D211*J244,"")</f>
        <v>80</v>
      </c>
    </row>
    <row r="245" spans="2:11" ht="12" customHeight="1">
      <c r="B245" s="206" t="s">
        <v>4</v>
      </c>
      <c r="C245" s="207" t="str">
        <f>IF(OR(D211=0,D212="　"),"","フィラメントテープ")</f>
        <v>フィラメントテープ</v>
      </c>
      <c r="D245" s="208"/>
      <c r="E245" s="209"/>
      <c r="F245" s="222" t="str">
        <f>IF(OR(D211=0,D212="　"),"","L=((自由長+緊張部長)÷@1.0m)×テープ係数"&amp;IF(MID(D212,4,1)="5",_xlfn.IFS(1*MID(LEFT(D212, LEN(D212)-1),6,2)&lt;4,"0.8",1*MID(LEFT(D212, LEN(D212)-1),6,2)&lt;7,"1.0",1*MID(LEFT(D212, LEN(D212)-1),6,2)&lt;10,"1.2",1*MID(LEFT(D212, LEN(D212)-1),6,2)&lt;13,"1.4"),_xlfn.IFS(1*MID(LEFT(D212, LEN(D212)-1),6,2)&lt;4,"1.0",1*MID(LEFT(D212, LEN(D212)-1),6,2)&lt;7,"1.2",1*MID(LEFT(D212, LEN(D212)-1),6,2)&lt;10,"1.4",1*MID(LEFT(D212, LEN(D212)-1),6,2)&lt;15,"1.8")))</f>
        <v>L=((自由長+緊張部長)÷@1.0m)×テープ係数1.0</v>
      </c>
      <c r="G245" s="211"/>
      <c r="H245" s="212"/>
      <c r="I245" s="213" t="s">
        <v>12</v>
      </c>
      <c r="J245" s="223">
        <f>IF(OR(D211=0,D212="　"),"",MROUND((SUM(D221,D222))/1*RIGHT(F245, 3),0.1))</f>
        <v>5.5</v>
      </c>
      <c r="K245" s="214">
        <f>IFERROR(D211*J245,"")</f>
        <v>55</v>
      </c>
    </row>
    <row r="246" spans="2:11" ht="12" customHeight="1">
      <c r="B246" s="206" t="s">
        <v>0</v>
      </c>
      <c r="C246" s="207" t="str">
        <f>IF(OR(D211=0,D212="　"),"","16/20、高密度ポリエチレン")</f>
        <v>16/20、高密度ポリエチレン</v>
      </c>
      <c r="D246" s="208"/>
      <c r="E246" s="209"/>
      <c r="F246" s="210" t="s">
        <v>33</v>
      </c>
      <c r="G246" s="211"/>
      <c r="H246" s="212"/>
      <c r="I246" s="213" t="s">
        <v>12</v>
      </c>
      <c r="J246" s="214">
        <f>IF(OR(D211=0,D212="　"),"",MROUND(D224,0.1))</f>
        <v>9.7000000000000011</v>
      </c>
      <c r="K246" s="214">
        <f>IFERROR(D211*J246,"")</f>
        <v>97.000000000000014</v>
      </c>
    </row>
    <row r="247" spans="2:11" ht="12" customHeight="1">
      <c r="B247" s="206" t="str" cm="1">
        <f t="array" ref="B247">_xlfn.IFS(OR(D211=0,D212="　",MID(D215,1,2)="なし",MID(D215,1,3)="受圧体"),"",MID(D215,1,3)="のり面","のり面角度台座",MID(D215,1,3)="構造物","構造物壁面台座",MID(D215,1,3)="土留め","土留め台座")</f>
        <v>のり面角度台座</v>
      </c>
      <c r="C247" s="210" t="str" cm="1">
        <f t="array" ref="C247">IF(OR(D211=0,D212="　",MID(D215,1,2)="なし",MID(D215,1,3)="受圧体"),"",_xlfn.IFS(MID(D215,1,3)="のり面",IF(1*MID(D212,4,1)=5,_xlfn.IFS(1*MID(LEFT(D212, LEN(D212)-1),6,2)&lt;5,"ST140",1*MID(LEFT(D212, LEN(D212)-1),6,2)&lt;8,"ST170",1*MID(LEFT(D212, LEN(D212)-1),6,2)&lt;13,"ST220"),_xlfn.IFS(1*MID(LEFT(D212, LEN(D212)-1),6,2)&lt;4,"ST140",1*MID(LEFT(D212, LEN(D212)-1),6,2)&lt;5,"ST170",1*MID(LEFT(D212, LEN(D212)-1),6,2)&lt;8,"ST220",1*MID(LEFT(D212, LEN(D212)-1),6,2)&lt;15,"非該当"))&amp;"、FCD450相当、防食："&amp;_xlfn.IFS(MID(D213,1,3)="防食Ⅱ","HDZT77めっき",MID(D213,5,2)="塩害","ｱﾙﾐﾅｲｽﾞ処理",MID(D213,5,2)="酸性","重防食処理"),OR(MID(D215,1,3)="構造物",MID(D215,1,3)="土留め"),D212&amp;"用"&amp;IF(OR(MID(D215,1,3)="構造物",D216="　"),"",D216)&amp;"、防食："&amp;_xlfn.IFS(MID(D213,1,3)="防食Ⅱ","HDZT77めっき",MID(D213,5,2)="塩害","ｱﾙﾐﾅｲｽﾞ処理",MID(D213,5,2)="酸性","重防食処理")))</f>
        <v>ST140、FCD450相当、防食：HDZT77めっき</v>
      </c>
      <c r="D247" s="208"/>
      <c r="E247" s="209"/>
      <c r="F247" s="217" t="str">
        <f>IF(OR(D215="なし",D215="受圧体のみ"),"","n=1")</f>
        <v>n=1</v>
      </c>
      <c r="G247" s="218"/>
      <c r="H247" s="219"/>
      <c r="I247" s="213" t="str">
        <f>IF(OR(D211=0,D212="　",B247=""),"","台")</f>
        <v>台</v>
      </c>
      <c r="J247" s="220" t="str">
        <f>IF(OR(D211=0,D212="　"),"",MID(F247,3,2))</f>
        <v>1</v>
      </c>
      <c r="K247" s="214">
        <f>IFERROR(D211*J247,"")</f>
        <v>10</v>
      </c>
    </row>
    <row r="248" spans="2:11" ht="12" customHeight="1">
      <c r="B248" s="206" t="str">
        <f>IF(OR(D211=0,D212="　",MID(D215,1,3)&lt;&gt;"のり面"),"","補剛板")</f>
        <v>補剛板</v>
      </c>
      <c r="C248" s="210" t="str" cm="1">
        <f t="array" ref="C248">IF(OR(D211=0,D212="　",MID(D215,1,3)&lt;&gt;"のり面"),"",IF(MID(D212,4,1)="5","□"&amp;_xlfn.SWITCH(1*MID(LEFT(D212, LEN(D212)-1),6,2),1,"210φ131t12",2,"210φ131t12",3,"240φ131t12",4,"270φ131t12",5,"280φ143t12",6,"310φ143t16",7,"350φ143t19",8,"350φ180t19",9,"350φ180t19",10,"350φ180t19",11,"350φ180t22",12,"350φ180t22"),"□"&amp;_xlfn.SWITCH(1*MID(LEFT(D212, LEN(D212)-1),6,2),1,"210,φ131,t12",2,"240,φ131,t12",3,"270,φ131,t16",4,"300,φ143,t16",5,"350,φ180,t16",6,"350,φ180,t16",7,"350,φ180,t19",8,"400,φ──,t12",9,"400,φ──,t12",10,"400,φ──,t12",11,"400,φ──,t12",12,"400,φ──,t12",13,"400,φ──,t12",14,"400,φ──,t12"))&amp;"、SS400相当、防食："&amp;_xlfn.IFS(MID(D213,1,3)="防食Ⅱ","HDZT77めっき",MID(D213,5,2)="塩害","ｱﾙﾐﾅｲｽﾞ処理",MID(D213,5,2)="酸性","重防食処理"))</f>
        <v>□270φ131t12、SS400相当、防食：HDZT77めっき</v>
      </c>
      <c r="D248" s="208"/>
      <c r="E248" s="209"/>
      <c r="F248" s="217" t="str">
        <f>IF(OR(D211=0,D212="　",MID(D215,1,3)&lt;&gt;"のり面"),"","n=1")</f>
        <v>n=1</v>
      </c>
      <c r="G248" s="218"/>
      <c r="H248" s="219"/>
      <c r="I248" s="213" t="str">
        <f>IF(OR(D211=0,D212="　",B248="",MID(D215,1,3)&lt;&gt;"のり面"),"","枚")</f>
        <v>枚</v>
      </c>
      <c r="J248" s="220" t="str">
        <f>IF(OR(D211=0,D212="　"),"",MID(F248,3,2))</f>
        <v>1</v>
      </c>
      <c r="K248" s="214">
        <f>IFERROR(D211*J248,"")</f>
        <v>10</v>
      </c>
    </row>
    <row r="249" spans="2:11" ht="12" customHeight="1">
      <c r="B249" s="206" t="str" cm="1">
        <f t="array" ref="B249">_xlfn.IFS(OR(D211=0,D212="　"),"",MID(D214,1,3)="アルミ","",MID(D214,1,3)&lt;&gt;"アルミ","テンドン補修用塗料")</f>
        <v>テンドン補修用塗料</v>
      </c>
      <c r="C249" s="210" t="str" cm="1">
        <f t="array" ref="C249">_xlfn.IFS(OR(D211=0,D212="　"),"",MID(D214,1,3)="アルミ","",MID(D214,1,3)&lt;&gt;"アルミ","エポキシ樹脂")</f>
        <v>エポキシ樹脂</v>
      </c>
      <c r="D249" s="208"/>
      <c r="E249" s="209"/>
      <c r="F249" s="217" t="str" cm="1">
        <f t="array" ref="F249">_xlfn.IFS(OR(D211=0,D212="　"),"",MID(D214,1,3)="アルミ","",MID(D214,1,3)&lt;&gt;"アルミ","W=PC鋼より線本数×"&amp;IF(MID(D212,4,1)="5","0.28","0.40"))</f>
        <v>W=PC鋼より線本数×0.28</v>
      </c>
      <c r="G249" s="218"/>
      <c r="H249" s="219"/>
      <c r="I249" s="213" t="str" cm="1">
        <f t="array" ref="I249">_xlfn.IFS(OR(D211=0,D212="　"),"",MID(D214,1,3)="アルミ","",MID(D214,1,3)&lt;&gt;"アルミ","g")</f>
        <v>g</v>
      </c>
      <c r="J249" s="224" cm="1">
        <f t="array" ref="J249">_xlfn.IFS(OR(D211=0,D212="　"),"",MID(D214,1,3)="アルミ","",MID(D214,1,3)&lt;&gt;"アルミ",MID(LEFT(D212, LEN(D212)-1),6,2)*IF(MID(D212,4,1)="5",0.28,0.4))</f>
        <v>1.1200000000000001</v>
      </c>
      <c r="K249" s="214">
        <f>IFERROR(D211*J249,"")</f>
        <v>11.200000000000001</v>
      </c>
    </row>
    <row r="250" spans="2:11" ht="12" customHeight="1">
      <c r="B250" s="206" t="str" cm="1">
        <f t="array" ref="B250">_xlfn.IFS(OR(D211=0,D212="　"),"",MID(D214,1,3)="アルミ","",MID(D214,1,3)&lt;&gt;"アルミ","長期防錆スプレー")</f>
        <v>長期防錆スプレー</v>
      </c>
      <c r="C250" s="210" t="str" cm="1">
        <f t="array" ref="C250">_xlfn.IFS(OR(D211=0,D212="　"),"",MID(D214,1,3)="アルミ","",MID(D214,1,3)&lt;&gt;"アルミ","防錆オイル")</f>
        <v>防錆オイル</v>
      </c>
      <c r="D250" s="208"/>
      <c r="E250" s="209"/>
      <c r="F250" s="217" t="str" cm="1">
        <f t="array" ref="F250">_xlfn.IFS(OR(D211=0,D212="　"),"",MID(D214,1,3)="アルミ","",MID(D214,1,3)&lt;&gt;"アルミ","n=0.01×(PC鋼より線本数+"&amp;IF(MID(D212,4,1)="5","6","12")&amp;")")</f>
        <v>n=0.01×(PC鋼より線本数+6)</v>
      </c>
      <c r="G250" s="218"/>
      <c r="H250" s="219"/>
      <c r="I250" s="213" t="str" cm="1">
        <f t="array" ref="I250">_xlfn.IFS(OR(D211=0,D212="　"),"",MID(D214,1,3)="アルミ","",MID(D214,1,3)&lt;&gt;"アルミ","缶")</f>
        <v>缶</v>
      </c>
      <c r="J250" s="224" cm="1">
        <f t="array" ref="J250">_xlfn.IFS(OR(D211=0,D212="　"),"",MID(D214,1,3)="アルミ","",MID(D214,1,3)&lt;&gt;"アルミ",0.01*(MID(LEFT(D212, LEN(D212)-1),6,2)+IF(MID(D212,4,1)="5",6,12)))</f>
        <v>0.1</v>
      </c>
      <c r="K250" s="214">
        <f>IFERROR(D211*J250,"")</f>
        <v>1</v>
      </c>
    </row>
    <row r="251" spans="2:11" ht="12" customHeight="1">
      <c r="B251" s="206" t="str">
        <f>IF(OR(D211=0,D212="　",D217="なし"),"","フリーパッカー注入ホース")</f>
        <v/>
      </c>
      <c r="C251" s="207" t="str">
        <f>IF(OR(D211=0,D212="　",B251=""),"","16/20、高密度ポリエチレン")</f>
        <v/>
      </c>
      <c r="D251" s="208"/>
      <c r="E251" s="209"/>
      <c r="F251" s="210" t="str">
        <f>IF(B251="","","L=自由長+緊張部長")</f>
        <v/>
      </c>
      <c r="G251" s="211"/>
      <c r="H251" s="212"/>
      <c r="I251" s="213" t="str">
        <f>IF(OR(D211=0,D212="　",B251=""),"","m")</f>
        <v/>
      </c>
      <c r="J251" s="214" t="str">
        <f>IF(OR(D211=0,D212="　"),"",IF(B251="","",MROUND(D221+D222,0.1)))</f>
        <v/>
      </c>
      <c r="K251" s="214" t="str">
        <f>IFERROR(D211*J251,"")</f>
        <v/>
      </c>
    </row>
    <row r="252" spans="2:11" ht="12" customHeight="1">
      <c r="B252" s="225" t="str">
        <f>IF(OR(D211=0,D212="　",D217="なし"),"","フリーパッカー")</f>
        <v/>
      </c>
      <c r="C252" s="217" t="str" cm="1">
        <f t="array" ref="C252">IF(OR(D211=0,D212="　",B251=""),"",_xlfn.SWITCH(D226,90,"PA-170",115,"PA-200",135,"PA-240",146,"PA-240",165,"PA-350")&amp;"、織布")</f>
        <v/>
      </c>
      <c r="D252" s="208"/>
      <c r="E252" s="209"/>
      <c r="F252" s="226" t="str">
        <f>IF(B252="","","L=自由長+0.5m")</f>
        <v/>
      </c>
      <c r="G252" s="227"/>
      <c r="H252" s="228"/>
      <c r="I252" s="213" t="str">
        <f>IF(OR(D212=0,D213="　",B252=""),"","m")</f>
        <v/>
      </c>
      <c r="J252" s="214" t="str">
        <f>IF(OR(D211=0,D212="　"),"",IF(B252="","",MROUND(D221+0.5,0.1)))</f>
        <v/>
      </c>
      <c r="K252" s="214" t="str">
        <f>IFERROR(D211*J252,"")</f>
        <v/>
      </c>
    </row>
    <row r="253" spans="2:11" ht="12" customHeight="1">
      <c r="B253" s="206" t="str">
        <f>IF(OR(D211=0,D212="　",D217="なし"),"","パッカー取付加工")</f>
        <v/>
      </c>
      <c r="C253" s="207"/>
      <c r="D253" s="208"/>
      <c r="E253" s="209"/>
      <c r="F253" s="217" t="str">
        <f>IF(B253="","","n=1")</f>
        <v/>
      </c>
      <c r="G253" s="218"/>
      <c r="H253" s="219"/>
      <c r="I253" s="213" t="str">
        <f>IF(OR(D213=0,D214="　",B253=""),"","式")</f>
        <v/>
      </c>
      <c r="J253" s="220" t="str">
        <f>IF(OR(D211=0,D212="　"),"",MID(F253,3,2))</f>
        <v/>
      </c>
      <c r="K253" s="206" t="str">
        <f>IFERROR(D211*J253,"")</f>
        <v/>
      </c>
    </row>
    <row r="254" spans="2:11" ht="12" customHeight="1">
      <c r="B254" s="229"/>
      <c r="C254" s="230"/>
      <c r="D254" s="231"/>
      <c r="E254" s="232"/>
      <c r="F254" s="233"/>
      <c r="G254" s="234"/>
      <c r="H254" s="235"/>
      <c r="I254" s="236"/>
      <c r="J254" s="237"/>
      <c r="K254" s="229"/>
    </row>
    <row r="255" spans="2:11" ht="12" customHeight="1">
      <c r="B255" s="238" t="s">
        <v>30</v>
      </c>
      <c r="C255" s="239" t="s">
        <v>31</v>
      </c>
      <c r="D255" s="240"/>
      <c r="E255" s="241"/>
      <c r="F255" s="242" t="s">
        <v>157</v>
      </c>
      <c r="G255" s="243"/>
      <c r="H255" s="244"/>
      <c r="I255" s="245" t="s">
        <v>55</v>
      </c>
      <c r="J255" s="246">
        <f>IFERROR(MROUND(0.25*PI()*(0.001*D226)^2*(D219+D220+D225)*(1+2.2),0.01),"")</f>
        <v>0.17</v>
      </c>
      <c r="K255" s="246">
        <f>IFERROR(D211*J255,"")</f>
        <v>1.7000000000000002</v>
      </c>
    </row>
    <row r="257" spans="2:13" ht="12" customHeight="1">
      <c r="B257" s="247" t="s">
        <v>136</v>
      </c>
      <c r="C257" s="247"/>
      <c r="D257" s="247"/>
      <c r="F257" s="163"/>
      <c r="G257" s="164"/>
      <c r="H257" s="164"/>
    </row>
    <row r="258" spans="2:13" ht="12" customHeight="1">
      <c r="B258" s="15" t="s">
        <v>111</v>
      </c>
      <c r="C258" s="15"/>
      <c r="D258" s="1"/>
      <c r="E258" s="1"/>
      <c r="H258" s="119"/>
      <c r="J258" s="118"/>
    </row>
    <row r="259" spans="2:13" ht="12" customHeight="1">
      <c r="B259" s="165" t="s">
        <v>164</v>
      </c>
      <c r="C259" s="3"/>
      <c r="D259" s="1"/>
      <c r="E259" s="1"/>
      <c r="F259" s="8"/>
      <c r="G259" s="8"/>
      <c r="H259" s="102"/>
      <c r="I259" s="28"/>
      <c r="J259" s="118"/>
    </row>
    <row r="260" spans="2:13" ht="12" customHeight="1">
      <c r="B260" s="15" t="s">
        <v>40</v>
      </c>
      <c r="C260" s="3"/>
      <c r="D260" s="1"/>
      <c r="E260" s="1"/>
      <c r="F260" s="15" t="s">
        <v>54</v>
      </c>
      <c r="G260" s="15"/>
      <c r="H260" s="102"/>
      <c r="I260" s="28"/>
    </row>
    <row r="261" spans="2:13" ht="12" customHeight="1">
      <c r="B261" s="2" t="s">
        <v>53</v>
      </c>
      <c r="C261" s="2" t="s">
        <v>21</v>
      </c>
      <c r="D261" s="2" t="s">
        <v>22</v>
      </c>
      <c r="E261" s="17"/>
      <c r="F261" s="49" t="s">
        <v>41</v>
      </c>
      <c r="G261" s="97" t="s">
        <v>59</v>
      </c>
      <c r="H261" s="49" t="s">
        <v>44</v>
      </c>
      <c r="I261" s="2" t="s">
        <v>21</v>
      </c>
      <c r="J261" s="49" t="s">
        <v>138</v>
      </c>
      <c r="K261" s="2" t="s">
        <v>28</v>
      </c>
    </row>
    <row r="262" spans="2:13" ht="12" customHeight="1">
      <c r="B262" s="166" t="s">
        <v>25</v>
      </c>
      <c r="C262" s="18" t="s">
        <v>24</v>
      </c>
      <c r="D262" s="167">
        <v>10</v>
      </c>
      <c r="E262" s="19"/>
      <c r="F262" s="168" t="s">
        <v>43</v>
      </c>
      <c r="G262" s="169" t="s">
        <v>113</v>
      </c>
      <c r="H262" s="88" t="str" cm="1">
        <f t="array" ref="H262">_xlfn.IFS(AND(F262&lt;&gt;"非削孔",F262&lt;&gt;"無設定"),D277,F262="非削孔",IF(MID(D266,1,3)="土留め","非削孔","箱抜き"),F262="無設定","無設定")</f>
        <v>箱抜き</v>
      </c>
      <c r="I262" s="23" t="str">
        <f>IF(F262="無設定","","m")</f>
        <v>m</v>
      </c>
      <c r="J262" s="170">
        <v>0.5</v>
      </c>
      <c r="K262" s="30">
        <f>D262*J262</f>
        <v>5</v>
      </c>
    </row>
    <row r="263" spans="2:13" ht="12" customHeight="1">
      <c r="B263" s="171" t="s">
        <v>37</v>
      </c>
      <c r="C263" s="50" t="s">
        <v>38</v>
      </c>
      <c r="D263" s="172" t="s">
        <v>139</v>
      </c>
      <c r="E263" s="173"/>
      <c r="F263" s="174" t="s">
        <v>49</v>
      </c>
      <c r="G263" s="169" t="s">
        <v>114</v>
      </c>
      <c r="H263" s="88" cm="1">
        <f t="array" ref="H263">_xlfn.IFS(AND(F263&lt;&gt;"非削孔",F263&lt;&gt;"無設定"),D277,F263="非削孔","箱抜き",F263="無設定","無設定")</f>
        <v>90</v>
      </c>
      <c r="I263" s="23" t="str">
        <f t="shared" ref="I263:I271" si="10">IF(F263="無設定","","m")</f>
        <v>m</v>
      </c>
      <c r="J263" s="170">
        <v>2.64</v>
      </c>
      <c r="K263" s="30">
        <f>D262*J263</f>
        <v>26.400000000000002</v>
      </c>
    </row>
    <row r="264" spans="2:13" ht="12" customHeight="1">
      <c r="B264" s="52" t="s">
        <v>39</v>
      </c>
      <c r="C264" s="91" t="s">
        <v>38</v>
      </c>
      <c r="D264" s="175" t="s">
        <v>60</v>
      </c>
      <c r="E264" s="140"/>
      <c r="F264" s="174" t="s">
        <v>49</v>
      </c>
      <c r="G264" s="169" t="s">
        <v>115</v>
      </c>
      <c r="H264" s="88" cm="1">
        <f t="array" ref="H264">_xlfn.IFS(AND(F264&lt;&gt;"非削孔",F264&lt;&gt;"無設定"),D277,F264="非削孔","箱抜き",F264="無設定","無設定")</f>
        <v>90</v>
      </c>
      <c r="I264" s="23" t="str">
        <f t="shared" si="10"/>
        <v>m</v>
      </c>
      <c r="J264" s="170">
        <v>5.36</v>
      </c>
      <c r="K264" s="30">
        <f>D262*J264</f>
        <v>53.6</v>
      </c>
    </row>
    <row r="265" spans="2:13" ht="12" customHeight="1">
      <c r="B265" s="147" t="s">
        <v>140</v>
      </c>
      <c r="C265" s="91" t="s">
        <v>38</v>
      </c>
      <c r="D265" s="176" t="s">
        <v>141</v>
      </c>
      <c r="E265" s="141"/>
      <c r="F265" s="174" t="s">
        <v>48</v>
      </c>
      <c r="G265" s="169"/>
      <c r="H265" s="88" t="str" cm="1">
        <f t="array" ref="H265">_xlfn.IFS(AND(F265&lt;&gt;"非削孔",F265&lt;&gt;"無設定"),D277,F265="非削孔","箱抜き",F265="無設定","無設定")</f>
        <v>無設定</v>
      </c>
      <c r="I265" s="23" t="str">
        <f t="shared" si="10"/>
        <v/>
      </c>
      <c r="J265" s="170">
        <v>0</v>
      </c>
      <c r="K265" s="30">
        <f>D262*J265</f>
        <v>0</v>
      </c>
      <c r="M265" s="112"/>
    </row>
    <row r="266" spans="2:13" ht="12" customHeight="1">
      <c r="B266" s="147" t="s">
        <v>142</v>
      </c>
      <c r="C266" s="91" t="s">
        <v>38</v>
      </c>
      <c r="D266" s="177" t="s">
        <v>160</v>
      </c>
      <c r="E266" s="21"/>
      <c r="F266" s="174" t="s">
        <v>48</v>
      </c>
      <c r="G266" s="169"/>
      <c r="H266" s="88" t="str" cm="1">
        <f t="array" ref="H266">_xlfn.IFS(AND(F266&lt;&gt;"非削孔",F266&lt;&gt;"無設定"),D277,F266="非削孔","箱抜き",F266="無設定","無設定")</f>
        <v>無設定</v>
      </c>
      <c r="I266" s="23" t="str">
        <f t="shared" si="10"/>
        <v/>
      </c>
      <c r="J266" s="170">
        <v>0</v>
      </c>
      <c r="K266" s="30">
        <f>D262*J266</f>
        <v>0</v>
      </c>
    </row>
    <row r="267" spans="2:13" ht="12" customHeight="1">
      <c r="B267" s="114" t="str">
        <f>IF(MID(D266,1,3)="土留め",D266&amp;"の種類","")</f>
        <v/>
      </c>
      <c r="C267" s="91" t="s">
        <v>38</v>
      </c>
      <c r="D267" s="178" t="s">
        <v>71</v>
      </c>
      <c r="E267" s="21"/>
      <c r="F267" s="174" t="s">
        <v>48</v>
      </c>
      <c r="G267" s="169"/>
      <c r="H267" s="88" t="str" cm="1">
        <f t="array" ref="H267">_xlfn.IFS(AND(F267&lt;&gt;"非削孔",F267&lt;&gt;"無設定"),D277,F267="非削孔","箱抜き",F267="無設定","無設定")</f>
        <v>無設定</v>
      </c>
      <c r="I267" s="23" t="str">
        <f t="shared" si="10"/>
        <v/>
      </c>
      <c r="J267" s="170">
        <v>0</v>
      </c>
      <c r="K267" s="30">
        <f>D262*J267</f>
        <v>0</v>
      </c>
    </row>
    <row r="268" spans="2:13" ht="12" customHeight="1">
      <c r="B268" s="179" t="s">
        <v>50</v>
      </c>
      <c r="C268" s="180" t="s">
        <v>38</v>
      </c>
      <c r="D268" s="181" t="s">
        <v>51</v>
      </c>
      <c r="E268" s="182"/>
      <c r="F268" s="174" t="s">
        <v>48</v>
      </c>
      <c r="G268" s="169"/>
      <c r="H268" s="88" t="str" cm="1">
        <f t="array" ref="H268">_xlfn.IFS(AND(F268&lt;&gt;"非削孔",F268&lt;&gt;"無設定"),D277,F268="非削孔","箱抜き",F268="無設定","無設定")</f>
        <v>無設定</v>
      </c>
      <c r="I268" s="23" t="str">
        <f t="shared" si="10"/>
        <v/>
      </c>
      <c r="J268" s="170">
        <v>0</v>
      </c>
      <c r="K268" s="30">
        <f>D262*J268</f>
        <v>0</v>
      </c>
    </row>
    <row r="269" spans="2:13" ht="12" customHeight="1">
      <c r="B269" s="160" t="str" cm="1">
        <f t="array" ref="B269">"頭部自由長"&amp;_xlfn.IFS(MID(D266,1,2)="なし","",MID(D266,1,3)="受圧体","(受圧体)",MID(D266,1,3)="のり面","(角度台座＋受圧体)",MID(D266,1,3)="構造物","(壁面台座)",MID(D266,1,3)="土留め","(台座+腹起し)")&amp;"　Lfh"</f>
        <v>頭部自由長(角度台座＋受圧体)　Lfh</v>
      </c>
      <c r="C269" s="155" t="s">
        <v>23</v>
      </c>
      <c r="D269" s="183">
        <v>0.5</v>
      </c>
      <c r="E269" s="21"/>
      <c r="F269" s="174" t="s">
        <v>144</v>
      </c>
      <c r="G269" s="169"/>
      <c r="H269" s="88" cm="1">
        <f t="array" ref="H269">_xlfn.IFS(AND(F269&lt;&gt;"非削孔",F269&lt;&gt;"無設定"),D277,F269="非削孔","箱抜き",F269="無設定","無設定")</f>
        <v>90</v>
      </c>
      <c r="I269" s="23" t="str">
        <f t="shared" si="10"/>
        <v>m</v>
      </c>
      <c r="J269" s="170">
        <v>0</v>
      </c>
      <c r="K269" s="30">
        <f>D262*J269</f>
        <v>0</v>
      </c>
    </row>
    <row r="270" spans="2:13" ht="12" customHeight="1">
      <c r="B270" s="22" t="s">
        <v>108</v>
      </c>
      <c r="C270" s="23" t="s">
        <v>23</v>
      </c>
      <c r="D270" s="184">
        <v>4</v>
      </c>
      <c r="E270" s="21"/>
      <c r="F270" s="174" t="s">
        <v>48</v>
      </c>
      <c r="G270" s="169"/>
      <c r="H270" s="88" t="str" cm="1">
        <f t="array" ref="H270">_xlfn.IFS(AND(F270&lt;&gt;"非削孔",F270&lt;&gt;"無設定"),D277,F270="非削孔","箱抜き",F270="無設定","無設定")</f>
        <v>無設定</v>
      </c>
      <c r="I270" s="23" t="str">
        <f t="shared" si="10"/>
        <v/>
      </c>
      <c r="J270" s="170">
        <v>0</v>
      </c>
      <c r="K270" s="30">
        <f>D262*J270</f>
        <v>0</v>
      </c>
    </row>
    <row r="271" spans="2:13" ht="12" customHeight="1">
      <c r="B271" s="157" t="s">
        <v>36</v>
      </c>
      <c r="C271" s="158" t="s">
        <v>23</v>
      </c>
      <c r="D271" s="185">
        <v>4</v>
      </c>
      <c r="F271" s="186" t="str" cm="1">
        <f t="array" ref="F271">INDEX(F262:H270,MATCH("無設定",F262:F270,0)-1,MATCH(F261,F261:H261,0))</f>
        <v>軟　岩</v>
      </c>
      <c r="G271" s="100" t="str" cm="1">
        <f t="array" ref="G271">INDEX(F262:H270,MATCH("無設定",F262:F270,0)-1,MATCH(G261,F261:H261,0))&amp;"　(先端長 L2d)"</f>
        <v>風化岩 CL　(先端長 L2d)</v>
      </c>
      <c r="H271" s="88" cm="1">
        <f t="array" ref="H271">INDEX(F262:H270,MATCH("無設定",F262:F270,0)-1,MATCH(H261,F261:H261,0))</f>
        <v>90</v>
      </c>
      <c r="I271" s="23" t="str">
        <f t="shared" si="10"/>
        <v>m</v>
      </c>
      <c r="J271" s="98">
        <f>D276</f>
        <v>0.25</v>
      </c>
      <c r="K271" s="78">
        <f>IFERROR(D262*J271,"")</f>
        <v>2.5</v>
      </c>
    </row>
    <row r="272" spans="2:13" ht="12" customHeight="1">
      <c r="B272" s="154" t="s">
        <v>145</v>
      </c>
      <c r="C272" s="155" t="s">
        <v>23</v>
      </c>
      <c r="D272" s="187">
        <f>IF(OR(D262=0,D263="　"),"──",SUM(D269:D270))</f>
        <v>4.5</v>
      </c>
      <c r="E272" s="19"/>
      <c r="F272" s="188"/>
      <c r="G272" s="75" t="s">
        <v>124</v>
      </c>
      <c r="H272" s="103"/>
      <c r="I272" s="18" t="s">
        <v>23</v>
      </c>
      <c r="J272" s="74">
        <f>SUMIFS(J262:J271,F262:F271,"&lt;&gt;非削孔",F262:F271,"&lt;&gt;無設定")</f>
        <v>8.25</v>
      </c>
      <c r="K272" s="95">
        <f>SUMIFS(K262:K271,F262:F271,"&lt;&gt;非削孔",F262:F271,"&lt;&gt;無設定")</f>
        <v>82.5</v>
      </c>
    </row>
    <row r="273" spans="2:13" ht="12" customHeight="1">
      <c r="B273" s="146" t="s">
        <v>146</v>
      </c>
      <c r="C273" s="23" t="s">
        <v>23</v>
      </c>
      <c r="D273" s="189" cm="1">
        <f t="array" ref="D273">IF(OR(D262=0,D263="　"),"──",IF(MID(D263,4,1)="5",_xlfn.IFS(1*MID(LEFT(D263, LEN(D263)-1),6,2)&lt;8,1,1*MID(LEFT(D263, LEN(D263)-1),6,2)&lt;13,1.2),_xlfn.IFS(1*MID(LEFT(D263, LEN(D263)-1),6,2)&lt;6,1,1*MID(LEFT(D263, LEN(D263)-1),6,2)&lt;15,1.2)))</f>
        <v>1.2</v>
      </c>
      <c r="E273" s="19"/>
      <c r="F273" s="190"/>
      <c r="G273" s="76" t="s">
        <v>47</v>
      </c>
      <c r="H273" s="104"/>
      <c r="I273" s="79" t="s">
        <v>46</v>
      </c>
      <c r="J273" s="77" t="str">
        <f>IF(OR(D262=0,D263="　"),"",IF(SUM(D270:D271,D276)=J272,"OK","NG"))</f>
        <v>OK</v>
      </c>
      <c r="K273" s="145" t="str">
        <f>IF(J273&lt;&gt;"NG","──",J272-SUM(D270:D271,D276))</f>
        <v>──</v>
      </c>
      <c r="M273" s="144"/>
    </row>
    <row r="274" spans="2:13" ht="12" customHeight="1">
      <c r="B274" s="22" t="s">
        <v>125</v>
      </c>
      <c r="C274" s="23" t="s">
        <v>35</v>
      </c>
      <c r="D274" s="84">
        <f>IF(OR(D262=0,D263="　"),"──",0.2)</f>
        <v>0.2</v>
      </c>
      <c r="F274" s="191" t="s">
        <v>58</v>
      </c>
      <c r="G274" s="248" t="s">
        <v>110</v>
      </c>
      <c r="H274" s="249"/>
      <c r="I274" s="249"/>
      <c r="J274" s="249"/>
      <c r="K274" s="250"/>
    </row>
    <row r="275" spans="2:13" ht="12" customHeight="1">
      <c r="B275" s="6" t="s">
        <v>147</v>
      </c>
      <c r="C275" s="23" t="s">
        <v>23</v>
      </c>
      <c r="D275" s="60">
        <f>IF(OR(D262=0,D263="　"),"──",SUM(D271:D274))</f>
        <v>9.8999999999999986</v>
      </c>
    </row>
    <row r="276" spans="2:13" ht="12" customHeight="1">
      <c r="B276" s="25" t="s">
        <v>127</v>
      </c>
      <c r="C276" s="26" t="s">
        <v>23</v>
      </c>
      <c r="D276" s="27">
        <f>IF(OR(D262=0,D263="　"),"──",0.25)</f>
        <v>0.25</v>
      </c>
      <c r="F276" s="8"/>
      <c r="G276" s="8"/>
      <c r="H276" s="102"/>
    </row>
    <row r="277" spans="2:13" ht="12" customHeight="1">
      <c r="B277" s="95" t="s">
        <v>123</v>
      </c>
      <c r="C277" s="18" t="s">
        <v>32</v>
      </c>
      <c r="D277" s="192">
        <v>90</v>
      </c>
      <c r="E277" s="193" t="str">
        <f>IF(D277&lt;D278,"NG：削孔径不適合","")</f>
        <v>NG：削孔径不適合</v>
      </c>
      <c r="F277" s="8"/>
      <c r="G277" s="8"/>
      <c r="H277" s="102"/>
    </row>
    <row r="278" spans="2:13" ht="12" customHeight="1">
      <c r="B278" s="25" t="s">
        <v>122</v>
      </c>
      <c r="C278" s="26" t="s">
        <v>32</v>
      </c>
      <c r="D278" s="194" cm="1">
        <f t="array" ref="D278">IF(OR(D262=0,D263="　"),"──",IF(D268="なし",IF(MID(D263,4,1)="5",_xlfn.IFS(1*MID(LEFT(D263, LEN(D263)-1),6,2)&lt;6,90,1*MID(LEFT(D263, LEN(D263)-1),6,2)&lt;9,115,1*MID(LEFT(D263, LEN(D263)-1),6,2)&gt;8,135),_xlfn.IFS(1*MID(LEFT(D263, LEN(D263)-1),6,2)&lt;4,90,1*MID(LEFT(D263, LEN(D263)-1),6,2)&lt;7,115,1*MID(LEFT(D263, LEN(D263)-1),6,2)&lt;10,135,1*MID(LEFT(D263, LEN(D263)-1),6,2)&lt;13,146,1*MID(LEFT(D263, LEN(D263)-1),6,2)&gt;12,165)),IF(MID(D263,4,1)="5",_xlfn.IFS(1*MID(LEFT(D263, LEN(D263)-1),6,2)&lt;3,90,1*MID(LEFT(D263, LEN(D263)-1),6,2)&lt;7,115,1*MID(LEFT(D263, LEN(D263)-1),6,2)&lt;9,135,1*MID(LEFT(D263, LEN(D263)-1),6,2)&gt;8,146),_xlfn.IFS(1*MID(LEFT(D263, LEN(D263)-1),6,2)&lt;3,90,1*MID(LEFT(D263, LEN(D263)-1),6,2)&lt;4,115,1*MID(LEFT(D263, LEN(D263)-1),6,2)&lt;6,135,1*MID(LEFT(D263, LEN(D263)-1),6,2)&lt;10,146,1*MID(LEFT(D263, LEN(D263)-1),6,2)&lt;13,165,1*MID(LEFT(D263, LEN(D263)-1),6,2)&gt;12,216))))</f>
        <v>115</v>
      </c>
      <c r="E278" s="195"/>
      <c r="F278" s="8"/>
      <c r="G278" s="8"/>
      <c r="H278" s="102"/>
    </row>
    <row r="279" spans="2:13" ht="12" customHeight="1">
      <c r="B279" s="20"/>
      <c r="C279" s="46"/>
      <c r="D279" s="117"/>
      <c r="F279" s="8"/>
      <c r="G279" s="8"/>
      <c r="H279" s="102"/>
    </row>
    <row r="280" spans="2:13" ht="12" customHeight="1">
      <c r="B280" s="15" t="str">
        <f>"■"&amp;MID(B257,2,14)</f>
        <v>■本設：EHDアンカーHP工法</v>
      </c>
      <c r="C280" s="3"/>
      <c r="D280" s="1"/>
      <c r="E280" s="1"/>
      <c r="F280" s="8"/>
      <c r="G280" s="8"/>
      <c r="H280" s="102"/>
    </row>
    <row r="281" spans="2:13" ht="12" customHeight="1">
      <c r="B281" s="2" t="s">
        <v>17</v>
      </c>
      <c r="C281" s="43"/>
      <c r="D281" s="196" t="s">
        <v>148</v>
      </c>
      <c r="E281" s="135"/>
      <c r="F281" s="16"/>
      <c r="G281" s="61" t="s">
        <v>42</v>
      </c>
      <c r="H281" s="97"/>
      <c r="I281" s="2" t="s">
        <v>21</v>
      </c>
      <c r="J281" s="49" t="s">
        <v>149</v>
      </c>
      <c r="K281" s="2" t="s">
        <v>28</v>
      </c>
    </row>
    <row r="282" spans="2:13" ht="12" customHeight="1">
      <c r="B282" s="197" t="s">
        <v>150</v>
      </c>
      <c r="C282" s="198" t="str">
        <f>IF(OR(D262=0,D263="　"),"",D263&amp;" ("&amp;MID(LEFT(D263, LEN(D263)-1),6,2)&amp;IF(MID(D263,4,1)="5","φ12.7","φ15.2")&amp;")")</f>
        <v>EHD5-8H (8φ12.7)</v>
      </c>
      <c r="D282" s="199"/>
      <c r="E282" s="200"/>
      <c r="F282" s="201" t="str">
        <f>"W=テンドン長×PC鋼より線本数×"&amp;IF(MID(D263,4,1)="5","0.774","1.101")&amp;"kg/m"</f>
        <v>W=テンドン長×PC鋼より線本数×0.774kg/m</v>
      </c>
      <c r="G282" s="202"/>
      <c r="H282" s="203"/>
      <c r="I282" s="204" t="s">
        <v>11</v>
      </c>
      <c r="J282" s="205">
        <f>IF(OR(D262=0,D263="　"),"",MROUND(D275*MID(LEFT(D263, LEN(D263)-1),6,2)*IF(MID(D263,4,1)="5","0.774","1.101"),0.01))</f>
        <v>61.300000000000004</v>
      </c>
      <c r="K282" s="205">
        <f>IFERROR(D262*J282,"")</f>
        <v>613</v>
      </c>
      <c r="L282" s="13"/>
    </row>
    <row r="283" spans="2:13" ht="12" customHeight="1">
      <c r="B283" s="206" t="s">
        <v>151</v>
      </c>
      <c r="C283" s="207"/>
      <c r="D283" s="208"/>
      <c r="E283" s="209"/>
      <c r="F283" s="210" t="s">
        <v>33</v>
      </c>
      <c r="G283" s="211"/>
      <c r="H283" s="212"/>
      <c r="I283" s="213" t="s">
        <v>12</v>
      </c>
      <c r="J283" s="214">
        <f>IF(OR(D262=0,D263="　"),"",MROUND(D275,0.1))</f>
        <v>9.9</v>
      </c>
      <c r="K283" s="214">
        <f>IFERROR(D262*J283,"")</f>
        <v>99</v>
      </c>
    </row>
    <row r="284" spans="2:13" ht="12" customHeight="1">
      <c r="B284" s="206" t="str">
        <f>"頭部キャップ"</f>
        <v>頭部キャップ</v>
      </c>
      <c r="C284" s="207" t="str" cm="1">
        <f t="array" ref="C284">IF(OR(D262=0,D263="　"),"",IF(MID(D263,4,1)="5",_xlfn.SWITCH(1*MID(LEFT(D263, LEN(D263)-1),6,2),1,"S",2,"S",3,"S",4,"S",5,"M",6,"M",7,"M",8,"L",9,"L",10,"L",11,"L",12,"L"),_xlfn.SWITCH(1*MID(LEFT(D263, LEN(D263)-1),6,2),1,"S",2,"S",3,"M",4,"M",5,"L",6,"L",7,"L",8,"LL",9,"LL",10,"LL",11,"LL",12,"LL",13,"LL",14,"LL"))&amp;"型"&amp;D265&amp;IF(OR(MID(D265,1,2)="透明",MID(D265,1,2)="5窓"),"、PC樹脂","")&amp;"、ｱﾙﾐAC4C相当"&amp;_xlfn.IFS(MID(D264,1,3)="防食Ⅱ","",MID(D264,5,2)="塩害","、防食：ﾀｹｺｰﾄ処理",MID(D264,5,2)="酸性","、防食：重防食処理"))</f>
        <v>L型透明キャップ、PC樹脂、ｱﾙﾐAC4C相当</v>
      </c>
      <c r="D284" s="215"/>
      <c r="E284" s="216"/>
      <c r="F284" s="217" t="str">
        <f t="shared" ref="F284:F290" si="11">"n=1"</f>
        <v>n=1</v>
      </c>
      <c r="G284" s="218"/>
      <c r="H284" s="219"/>
      <c r="I284" s="213" t="s">
        <v>13</v>
      </c>
      <c r="J284" s="220" t="str">
        <f>IF(OR(D262=0,D263="　"),"",MID(F284,3,2))</f>
        <v>1</v>
      </c>
      <c r="K284" s="214">
        <f>IFERROR(D262*J284,"")</f>
        <v>10</v>
      </c>
    </row>
    <row r="285" spans="2:13" ht="12" customHeight="1">
      <c r="B285" s="206" t="s">
        <v>5</v>
      </c>
      <c r="C285" s="207" t="str" cm="1">
        <f t="array" ref="C285">IF(OR(D262=0,D263="　"),"",IF(MID(D263,4,1)="5","G5"&amp;_xlfn.SWITCH(1*MID(LEFT(D263, LEN(D263)-1),6,2),1,"01",2,"02",3,"03",4,"04",5,"07",6,"07",7,"07",8,"09",9,"09",10,"12",11,"12",12,"12"),"G6"&amp;_xlfn.SWITCH(1*MID(LEFT(D263, LEN(D263)-1),6,2),1,"01",2,"02",3,"03",4,"04",5,"07",6,"07",7,"07",8,"09",9,"09",10,"12",11,"12",12,"12",13,"14",14,"14"))&amp;"、S45C相当"&amp;IF(MID(D265,1,3)&lt;&gt;"アルミ","、防食：無電解Niめっき",""))</f>
        <v>G509、S45C相当、防食：無電解Niめっき</v>
      </c>
      <c r="D285" s="208"/>
      <c r="E285" s="209"/>
      <c r="F285" s="217" t="str">
        <f t="shared" si="11"/>
        <v>n=1</v>
      </c>
      <c r="G285" s="218"/>
      <c r="H285" s="219"/>
      <c r="I285" s="213" t="s">
        <v>13</v>
      </c>
      <c r="J285" s="220" t="str">
        <f>IF(OR(D262=0,D263="　"),"",MID(F285,3,2))</f>
        <v>1</v>
      </c>
      <c r="K285" s="214">
        <f>IFERROR(D262*J285,"")</f>
        <v>10</v>
      </c>
    </row>
    <row r="286" spans="2:13" ht="12" customHeight="1">
      <c r="B286" s="206" t="s">
        <v>152</v>
      </c>
      <c r="C286" s="207" t="str" cm="1">
        <f t="array" ref="C286">IF(OR(D262=0,D263="　"),"",IF(MID(D263,4,1)="5","G5"&amp;_xlfn.SWITCH(1*MID(LEFT(D263, LEN(D263)-1),6,2),1,"01",2,"02",3,"03",4,"04",5,"07",6,"07",7,"07",8,"09",9,"09",10,"12",11,"12",12,"12"),"G6"&amp;_xlfn.SWITCH(1*MID(LEFT(D263, LEN(D263)-1),6,2),1,"01",2,"02",3,"03",4,"04",5,"07",6,"07",7,"07",8,"09",9,"09",10,"12",11,"12",12,"12",13,"14",14,"14"))&amp;"、S45C相当"&amp;IF(MID(D265,1,3)&lt;&gt;"アルミ","、防食：無電解Niめっき",""))</f>
        <v>G509、S45C相当、防食：無電解Niめっき</v>
      </c>
      <c r="D286" s="208"/>
      <c r="E286" s="209"/>
      <c r="F286" s="217" t="str">
        <f t="shared" si="11"/>
        <v>n=1</v>
      </c>
      <c r="G286" s="218"/>
      <c r="H286" s="219"/>
      <c r="I286" s="213" t="s">
        <v>13</v>
      </c>
      <c r="J286" s="220" t="str">
        <f>IF(OR(D262=0,D263="　"),"",MID(F286,3,2))</f>
        <v>1</v>
      </c>
      <c r="K286" s="214">
        <f>IFERROR(D262*J286,"")</f>
        <v>10</v>
      </c>
    </row>
    <row r="287" spans="2:13" ht="12" customHeight="1">
      <c r="B287" s="206" t="s">
        <v>7</v>
      </c>
      <c r="C287" s="207" t="str">
        <f>IF(OR(D262=0,D263="　"),"",IF(1*MID(D263,4,1)=5,"ECF12.7","ECF15.2")&amp;"、SCM415相当"&amp;IF(MID(D265,1,3)&lt;&gt;"アルミ","、防食：無電解Niめっき",""))</f>
        <v>ECF12.7、SCM415相当、防食：無電解Niめっき</v>
      </c>
      <c r="D287" s="208"/>
      <c r="E287" s="209"/>
      <c r="F287" s="217" t="str">
        <f t="shared" si="11"/>
        <v>n=1</v>
      </c>
      <c r="G287" s="218"/>
      <c r="H287" s="219"/>
      <c r="I287" s="213" t="s">
        <v>27</v>
      </c>
      <c r="J287" s="220" t="str">
        <f>IF(OR(D262=0,D263="　"),"",MID(F287,3,2))</f>
        <v>1</v>
      </c>
      <c r="K287" s="214">
        <f>IFERROR(D262*J287,"")</f>
        <v>10</v>
      </c>
    </row>
    <row r="288" spans="2:13" ht="12" customHeight="1">
      <c r="B288" s="206" t="s">
        <v>153</v>
      </c>
      <c r="C288" s="207" t="str" cm="1">
        <f t="array" ref="C288">IF(OR(D262=0,D263="　"),"",IF(MID(D263,4,1)="5","G5"&amp;_xlfn.SWITCH(1*MID(LEFT(D263, LEN(D263)-1),6,2),1,"01",2,"04",3,"03",4,"04",5,"07",6,"07",7,"07",8,"12",9,"12",10,"12",11,"12",12,"12"),"G6"&amp;_xlfn.SWITCH(1*MID(LEFT(D263, LEN(D263)-1),6,2),1,"01",2,"02",3,"03",4,"04",5,"07",6,"07",7,"07",8,"12",9,"12",10,"12",11,"12",12,"12",13,"14",14,"14"))&amp;"、SS400相当、防食："&amp;_xlfn.IFS(MID(D264,1,3)="防食Ⅱ","HDZT77めっき",MID(D264,5,2)="塩害","ｱﾙﾐﾅｲｽﾞ処理",MID(D264,5,2)="酸性","重防食処理"))</f>
        <v>G512、SS400相当、防食：HDZT77めっき</v>
      </c>
      <c r="D288" s="208"/>
      <c r="E288" s="209"/>
      <c r="F288" s="217" t="str">
        <f t="shared" si="11"/>
        <v>n=1</v>
      </c>
      <c r="G288" s="218"/>
      <c r="H288" s="219"/>
      <c r="I288" s="213" t="s">
        <v>16</v>
      </c>
      <c r="J288" s="220" t="str">
        <f>IF(OR(D262=0,D263="　"),"",MID(F288,3,2))</f>
        <v>1</v>
      </c>
      <c r="K288" s="214">
        <f>IFERROR(D262*J288,"")</f>
        <v>10</v>
      </c>
    </row>
    <row r="289" spans="2:11" ht="12" customHeight="1">
      <c r="B289" s="206" t="str">
        <f>IF(MID(D266,1,3)="のり面","管付","")&amp;"支圧板"</f>
        <v>管付支圧板</v>
      </c>
      <c r="C289" s="221" t="str" cm="1">
        <f t="array" ref="C289">IF(OR(D262=0,D263="　"),"","PL"&amp;IF(MID(D266,1,3)="のり面","P","")&amp;IF(MID(D263,4,1)="5","5-"&amp;_xlfn.SWITCH(1*MID(LEFT(D263, LEN(D263)-1),6,2),1,"1",2,"2",3,"3",4,"4",5,"5",6,"6",7,"7",8,"9",9,"9",10,"10",11,"11",12,"12"),"6-"&amp;_xlfn.SWITCH(1*MID(LEFT(D263, LEN(D263)-1),6,2),1,"1",2,"2",3,"3",4,"4",5,"6",6,"6",7,"7",8,"8",9,"9",10,"10",11,"11",12,"12",13,"14",14,"14"))&amp;"、SS400相当、防食："&amp;_xlfn.IFS(MID(D264,1,3)="防食Ⅱ","HDZT77めっき",MID(D264,5,2)="塩害","ｱﾙﾐﾅｲｽﾞ処理",MID(D264,5,2)="酸性","重防食処理"))</f>
        <v>PLP5-9、SS400相当、防食：HDZT77めっき</v>
      </c>
      <c r="D289" s="208"/>
      <c r="E289" s="209"/>
      <c r="F289" s="217" t="str">
        <f t="shared" si="11"/>
        <v>n=1</v>
      </c>
      <c r="G289" s="218"/>
      <c r="H289" s="219"/>
      <c r="I289" s="213" t="s">
        <v>16</v>
      </c>
      <c r="J289" s="220" t="str">
        <f>IF(OR(D262=0,D263="　"),"",MID(F289,3,2))</f>
        <v>1</v>
      </c>
      <c r="K289" s="214">
        <f>IFERROR(D262*J289,"")</f>
        <v>10</v>
      </c>
    </row>
    <row r="290" spans="2:11" ht="12" customHeight="1">
      <c r="B290" s="206" t="s">
        <v>154</v>
      </c>
      <c r="C290" s="207" t="str">
        <f>IF(OR(D262=0,D263="　"),"","G"&amp;MID(LEFT(D263, LEN(D263)-1),4,4)&amp;"、NBR45相当")</f>
        <v>G5-8、NBR45相当</v>
      </c>
      <c r="D290" s="208"/>
      <c r="E290" s="209"/>
      <c r="F290" s="217" t="str">
        <f t="shared" si="11"/>
        <v>n=1</v>
      </c>
      <c r="G290" s="218"/>
      <c r="H290" s="219"/>
      <c r="I290" s="213" t="s">
        <v>13</v>
      </c>
      <c r="J290" s="220" t="str">
        <f>IF(OR(D262=0,D263="　"),"",MID(F290,3,2))</f>
        <v>1</v>
      </c>
      <c r="K290" s="214">
        <f>IFERROR(D262*J290,"")</f>
        <v>10</v>
      </c>
    </row>
    <row r="291" spans="2:11" ht="12" customHeight="1">
      <c r="B291" s="206" t="str" cm="1">
        <f t="array" ref="B291">_xlfn.IFS(OR(D262=0,D263="　"),"",MID(D265,1,3)="アルミ","頭部防錆油",MID(D265,1,3)&lt;&gt;"アルミ","余長キャップ")</f>
        <v>余長キャップ</v>
      </c>
      <c r="C291" s="221" t="str" cm="1">
        <f t="array" ref="C291">_xlfn.IFS(OR(D262=0,D263="　"),"",MID(D265,1,3)="アルミ","PCコートC",MID(D265,1,3)&lt;&gt;"アルミ","TC"&amp;MID(D263,4,1)&amp;"、高密度ポチエチレン")</f>
        <v>TC5、高密度ポチエチレン</v>
      </c>
      <c r="D291" s="208"/>
      <c r="E291" s="209"/>
      <c r="F291" s="217" t="str" cm="1">
        <f t="array" ref="F291">_xlfn.IFS(OR(D262=0,D263="　"),"",MID(D265,1,3)="アルミ","W="&amp;IF(MID(D263,4,1)="5",_xlfn.SWITCH(1*MID(LEFT(D263, LEN(D263)-1),6,2),1,1.9,2,1.3,3,1.3,4,1.3,5,1.6,6,1.6,7,1.6,8,3.1,9,3.1,10,3.1,11,3.1,12,3.1),"G6"&amp;_xlfn.SWITCH(1*MID(LEFT(D263, LEN(D263)-1),6,2),1,1.8,2,1.3,3,1.8,4,1.8,5,3.3,6,3.3,7,3.3,8,9.9,9,9.9,10,9.9,11,9.9,12,9.9,13,9.9,14,9.9)),MID(D265,1,3)&lt;&gt;"アルミ","n=1")</f>
        <v>n=1</v>
      </c>
      <c r="G291" s="218"/>
      <c r="H291" s="219"/>
      <c r="I291" s="213" t="str" cm="1">
        <f t="array" ref="I291">_xlfn.IFS(OR(D262=0,D263="　"),"",MID(D265,1,3)="アルミ","kg",MID(D265,1,3)&lt;&gt;"アルミ","式")</f>
        <v>式</v>
      </c>
      <c r="J291" s="220" t="str">
        <f>IF(OR(D262=0,D263="　"),"",MID(F291,3,4))</f>
        <v>1</v>
      </c>
      <c r="K291" s="214">
        <f>IFERROR(D262*J291,"")</f>
        <v>10</v>
      </c>
    </row>
    <row r="292" spans="2:11" ht="12" customHeight="1">
      <c r="B292" s="206" t="s">
        <v>9</v>
      </c>
      <c r="C292" s="207" t="str" cm="1">
        <f t="array" ref="C292">IF(OR(D262=0,D263="　"),"",IF(MID(D263,4,1)="5","PS5-"&amp;_xlfn.SWITCH(1*MID(LEFT(D263, LEN(D263)-1),6,2),1,"7",2,"2",3,"3",4,"4",5,"7",6,"7",7,"7",8,"12",9,"12",10,"12",11,"12",12,"12"),"PS6-"&amp;_xlfn.SWITCH(1*MID(LEFT(D263, LEN(D263)-1),6,2),1,"7",2,"2",3,"3",4,"4",5,"7",6,"7",7,"7",8,"12",9,"12",10,"12",11,"12",12,"12",13,"14",14,"14"))&amp;"、高密度ポリエチレン")</f>
        <v>PS5-12、高密度ポリエチレン</v>
      </c>
      <c r="D292" s="208"/>
      <c r="E292" s="209"/>
      <c r="F292" s="217" t="str">
        <f>"n=2"</f>
        <v>n=2</v>
      </c>
      <c r="G292" s="218"/>
      <c r="H292" s="219"/>
      <c r="I292" s="213" t="s">
        <v>13</v>
      </c>
      <c r="J292" s="220" t="str">
        <f>IF(OR(D262=0,D263="　"),"",MID(F292,3,2))</f>
        <v>2</v>
      </c>
      <c r="K292" s="214">
        <f>IFERROR(D262*J292,"")</f>
        <v>20</v>
      </c>
    </row>
    <row r="293" spans="2:11" ht="12" customHeight="1">
      <c r="B293" s="206" t="s">
        <v>2</v>
      </c>
      <c r="C293" s="207" t="str" cm="1">
        <f t="array" ref="C293">IF(OR(D262=0,D263="　"),"",IF(MID(D263,4,1)="5","S5-"&amp;_xlfn.IFS(1*MID(LEFT(D263, LEN(D263)-1),6,2)&lt;6,"5",1*MID(LEFT(D263, LEN(D263)-1),6,2)&lt;9,"8",1*MID(LEFT(D263, LEN(D263)-1),6,2)&gt;8,"12"),"S6-"&amp;_xlfn.IFS(1*MID(LEFT(D263, LEN(D263)-1),6,2)&lt;4,"3",1*MID(LEFT(D263, LEN(D263)-1),6,2)&lt;7,"6",1*MID(LEFT(D263, LEN(D263)-1),6,2)&lt;10,"9",1*MID(LEFT(D263, LEN(D263)-1),6,2)&lt;13,"12",1*MID(LEFT(D263, LEN(D263)-1),6,2)&gt;12,"14"))&amp;"、ポリプロピレン")</f>
        <v>S5-8、ポリプロピレン</v>
      </c>
      <c r="D293" s="208"/>
      <c r="E293" s="209"/>
      <c r="F293" s="222" t="s">
        <v>155</v>
      </c>
      <c r="G293" s="211"/>
      <c r="H293" s="212"/>
      <c r="I293" s="213" t="s">
        <v>13</v>
      </c>
      <c r="J293" s="206">
        <f>IF(OR(D262=0,D263="　"),"",MROUND((D271-0.4)/1,1))</f>
        <v>4</v>
      </c>
      <c r="K293" s="214">
        <f>IFERROR(D262*J293,"")</f>
        <v>40</v>
      </c>
    </row>
    <row r="294" spans="2:11" ht="12" customHeight="1">
      <c r="B294" s="206" t="s">
        <v>1</v>
      </c>
      <c r="C294" s="207" t="str" cm="1">
        <f t="array" ref="C294">IF(OR(D262=0,D263="　"),"",IF(MID(D263,4,1)="5","PC5-"&amp;_xlfn.IFS(1*MID(LEFT(D263, LEN(D263)-1),6,2)&lt;5,"4",1*MID(LEFT(D263, LEN(D263)-1),6,2)&lt;8,"7",1*MID(LEFT(D263, LEN(D263)-1),6,2)&lt;10,"9",1*MID(LEFT(D263, LEN(D263)-1),6,2)&gt;9,"12"),"PC6-"&amp;_xlfn.IFS(1*MID(LEFT(D263, LEN(D263)-1),6,2)&lt;4,"3",1*MID(LEFT(D263, LEN(D263)-1),6,2)&lt;8,"7",1*MID(LEFT(D263, LEN(D263)-1),6,2)&lt;13,"12",1*MID(LEFT(D263, LEN(D263)-1),6,2)&gt;12,"14"))&amp;"、ポリプロピレン")</f>
        <v>PC5-9、ポリプロピレン</v>
      </c>
      <c r="D294" s="208"/>
      <c r="E294" s="209"/>
      <c r="F294" s="217" t="str">
        <f>"n=1"</f>
        <v>n=1</v>
      </c>
      <c r="G294" s="218"/>
      <c r="H294" s="219"/>
      <c r="I294" s="213" t="s">
        <v>13</v>
      </c>
      <c r="J294" s="220" t="str">
        <f>IF(OR(D262=0,D263="　"),"",MID(F294,3,2))</f>
        <v>1</v>
      </c>
      <c r="K294" s="214">
        <f>IFERROR(D262*J294,"")</f>
        <v>10</v>
      </c>
    </row>
    <row r="295" spans="2:11" ht="12" customHeight="1">
      <c r="B295" s="206" t="s">
        <v>3</v>
      </c>
      <c r="C295" s="207" t="str">
        <f>IF(OR(D262=0,D263="　"),"","66ナイロン")</f>
        <v>66ナイロン</v>
      </c>
      <c r="D295" s="208"/>
      <c r="E295" s="209"/>
      <c r="F295" s="222" t="s">
        <v>156</v>
      </c>
      <c r="G295" s="211"/>
      <c r="H295" s="212"/>
      <c r="I295" s="213" t="s">
        <v>14</v>
      </c>
      <c r="J295" s="206">
        <f>IF(OR(D262=0,D263="　"),"",2*J293)</f>
        <v>8</v>
      </c>
      <c r="K295" s="214">
        <f>IFERROR(D262*J295,"")</f>
        <v>80</v>
      </c>
    </row>
    <row r="296" spans="2:11" ht="12" customHeight="1">
      <c r="B296" s="206" t="s">
        <v>4</v>
      </c>
      <c r="C296" s="207" t="str">
        <f>IF(OR(D262=0,D263="　"),"","フィラメントテープ")</f>
        <v>フィラメントテープ</v>
      </c>
      <c r="D296" s="208"/>
      <c r="E296" s="209"/>
      <c r="F296" s="222" t="str">
        <f>IF(OR(D262=0,D263="　"),"","L=((自由長+緊張部長)÷@1.0m)×テープ係数"&amp;IF(MID(D263,4,1)="5",_xlfn.IFS(1*MID(LEFT(D263, LEN(D263)-1),6,2)&lt;4,"0.8",1*MID(LEFT(D263, LEN(D263)-1),6,2)&lt;7,"1.0",1*MID(LEFT(D263, LEN(D263)-1),6,2)&lt;10,"1.2",1*MID(LEFT(D263, LEN(D263)-1),6,2)&lt;13,"1.4"),_xlfn.IFS(1*MID(LEFT(D263, LEN(D263)-1),6,2)&lt;4,"1.0",1*MID(LEFT(D263, LEN(D263)-1),6,2)&lt;7,"1.2",1*MID(LEFT(D263, LEN(D263)-1),6,2)&lt;10,"1.4",1*MID(LEFT(D263, LEN(D263)-1),6,2)&lt;15,"1.8")))</f>
        <v>L=((自由長+緊張部長)÷@1.0m)×テープ係数1.2</v>
      </c>
      <c r="G296" s="211"/>
      <c r="H296" s="212"/>
      <c r="I296" s="213" t="s">
        <v>12</v>
      </c>
      <c r="J296" s="223">
        <f>IF(OR(D262=0,D263="　"),"",MROUND((SUM(D272,D273))/1*RIGHT(F296, 3),0.1))</f>
        <v>6.8000000000000007</v>
      </c>
      <c r="K296" s="214">
        <f>IFERROR(D262*J296,"")</f>
        <v>68</v>
      </c>
    </row>
    <row r="297" spans="2:11" ht="12" customHeight="1">
      <c r="B297" s="206" t="s">
        <v>0</v>
      </c>
      <c r="C297" s="207" t="str">
        <f>IF(OR(D262=0,D263="　"),"","16/20、高密度ポリエチレン")</f>
        <v>16/20、高密度ポリエチレン</v>
      </c>
      <c r="D297" s="208"/>
      <c r="E297" s="209"/>
      <c r="F297" s="210" t="s">
        <v>33</v>
      </c>
      <c r="G297" s="211"/>
      <c r="H297" s="212"/>
      <c r="I297" s="213" t="s">
        <v>12</v>
      </c>
      <c r="J297" s="214">
        <f>IF(OR(D262=0,D263="　"),"",MROUND(D275,0.1))</f>
        <v>9.9</v>
      </c>
      <c r="K297" s="214">
        <f>IFERROR(D262*J297,"")</f>
        <v>99</v>
      </c>
    </row>
    <row r="298" spans="2:11" ht="12" customHeight="1">
      <c r="B298" s="206" t="str" cm="1">
        <f t="array" ref="B298">_xlfn.IFS(OR(D262=0,D263="　",MID(D266,1,2)="なし",MID(D266,1,3)="受圧体"),"",MID(D266,1,3)="のり面","のり面角度台座",MID(D266,1,3)="構造物","構造物壁面台座",MID(D266,1,3)="土留め","土留め台座")</f>
        <v>のり面角度台座</v>
      </c>
      <c r="C298" s="210" t="str" cm="1">
        <f t="array" ref="C298">IF(OR(D262=0,D263="　",MID(D266,1,2)="なし",MID(D266,1,3)="受圧体"),"",_xlfn.IFS(MID(D266,1,3)="のり面",IF(1*MID(D263,4,1)=5,_xlfn.IFS(1*MID(LEFT(D263, LEN(D263)-1),6,2)&lt;5,"ST140",1*MID(LEFT(D263, LEN(D263)-1),6,2)&lt;8,"ST170",1*MID(LEFT(D263, LEN(D263)-1),6,2)&lt;13,"ST220"),_xlfn.IFS(1*MID(LEFT(D263, LEN(D263)-1),6,2)&lt;4,"ST140",1*MID(LEFT(D263, LEN(D263)-1),6,2)&lt;5,"ST170",1*MID(LEFT(D263, LEN(D263)-1),6,2)&lt;8,"ST220",1*MID(LEFT(D263, LEN(D263)-1),6,2)&lt;15,"非該当"))&amp;"、FCD450相当、防食："&amp;_xlfn.IFS(MID(D264,1,3)="防食Ⅱ","HDZT77めっき",MID(D264,5,2)="塩害","ｱﾙﾐﾅｲｽﾞ処理",MID(D264,5,2)="酸性","重防食処理"),OR(MID(D266,1,3)="構造物",MID(D266,1,3)="土留め"),D263&amp;"用"&amp;IF(OR(MID(D266,1,3)="構造物",D267="　"),"",D267)&amp;"、防食："&amp;_xlfn.IFS(MID(D264,1,3)="防食Ⅱ","HDZT77めっき",MID(D264,5,2)="塩害","ｱﾙﾐﾅｲｽﾞ処理",MID(D264,5,2)="酸性","重防食処理")))</f>
        <v>ST220、FCD450相当、防食：HDZT77めっき</v>
      </c>
      <c r="D298" s="208"/>
      <c r="E298" s="209"/>
      <c r="F298" s="217" t="str">
        <f>IF(OR(D266="なし",D266="受圧体のみ"),"","n=1")</f>
        <v>n=1</v>
      </c>
      <c r="G298" s="218"/>
      <c r="H298" s="219"/>
      <c r="I298" s="213" t="str">
        <f>IF(OR(D262=0,D263="　",B298=""),"","台")</f>
        <v>台</v>
      </c>
      <c r="J298" s="220" t="str">
        <f>IF(OR(D262=0,D263="　"),"",MID(F298,3,2))</f>
        <v>1</v>
      </c>
      <c r="K298" s="214">
        <f>IFERROR(D262*J298,"")</f>
        <v>10</v>
      </c>
    </row>
    <row r="299" spans="2:11" ht="12" customHeight="1">
      <c r="B299" s="206" t="str">
        <f>IF(OR(D262=0,D263="　",MID(D266,1,3)&lt;&gt;"のり面"),"","補剛板")</f>
        <v>補剛板</v>
      </c>
      <c r="C299" s="210" t="str" cm="1">
        <f t="array" ref="C299">IF(OR(D262=0,D263="　",MID(D266,1,3)&lt;&gt;"のり面"),"",IF(MID(D263,4,1)="5","□"&amp;_xlfn.SWITCH(1*MID(LEFT(D263, LEN(D263)-1),6,2),1,"210φ131t12",2,"210φ131t12",3,"240φ131t12",4,"270φ131t12",5,"280φ143t12",6,"310φ143t16",7,"350φ143t19",8,"350φ180t19",9,"350φ180t19",10,"350φ180t19",11,"350φ180t22",12,"350φ180t22"),"□"&amp;_xlfn.SWITCH(1*MID(LEFT(D263, LEN(D263)-1),6,2),1,"210,φ131,t12",2,"240,φ131,t12",3,"270,φ131,t16",4,"300,φ143,t16",5,"350,φ180,t16",6,"350,φ180,t16",7,"350,φ180,t19",8,"400,φ──,t12",9,"400,φ──,t12",10,"400,φ──,t12",11,"400,φ──,t12",12,"400,φ──,t12",13,"400,φ──,t12",14,"400,φ──,t12"))&amp;"、SS400相当、防食："&amp;_xlfn.IFS(MID(D264,1,3)="防食Ⅱ","HDZT77めっき",MID(D264,5,2)="塩害","ｱﾙﾐﾅｲｽﾞ処理",MID(D264,5,2)="酸性","重防食処理"))</f>
        <v>□350φ180t19、SS400相当、防食：HDZT77めっき</v>
      </c>
      <c r="D299" s="208"/>
      <c r="E299" s="209"/>
      <c r="F299" s="217" t="str">
        <f>IF(OR(D262=0,D263="　",MID(D266,1,3)&lt;&gt;"のり面"),"","n=1")</f>
        <v>n=1</v>
      </c>
      <c r="G299" s="218"/>
      <c r="H299" s="219"/>
      <c r="I299" s="213" t="str">
        <f>IF(OR(D262=0,D263="　",B299="",MID(D266,1,3)&lt;&gt;"のり面"),"","枚")</f>
        <v>枚</v>
      </c>
      <c r="J299" s="220" t="str">
        <f>IF(OR(D262=0,D263="　"),"",MID(F299,3,2))</f>
        <v>1</v>
      </c>
      <c r="K299" s="214">
        <f>IFERROR(D262*J299,"")</f>
        <v>10</v>
      </c>
    </row>
    <row r="300" spans="2:11" ht="12" customHeight="1">
      <c r="B300" s="206" t="str" cm="1">
        <f t="array" ref="B300">_xlfn.IFS(OR(D262=0,D263="　"),"",MID(D265,1,3)="アルミ","",MID(D265,1,3)&lt;&gt;"アルミ","テンドン補修用塗料")</f>
        <v>テンドン補修用塗料</v>
      </c>
      <c r="C300" s="210" t="str" cm="1">
        <f t="array" ref="C300">_xlfn.IFS(OR(D262=0,D263="　"),"",MID(D265,1,3)="アルミ","",MID(D265,1,3)&lt;&gt;"アルミ","エポキシ樹脂")</f>
        <v>エポキシ樹脂</v>
      </c>
      <c r="D300" s="208"/>
      <c r="E300" s="209"/>
      <c r="F300" s="217" t="str" cm="1">
        <f t="array" ref="F300">_xlfn.IFS(OR(D262=0,D263="　"),"",MID(D265,1,3)="アルミ","",MID(D265,1,3)&lt;&gt;"アルミ","W=PC鋼より線本数×"&amp;IF(MID(D263,4,1)="5","0.28","0.40"))</f>
        <v>W=PC鋼より線本数×0.28</v>
      </c>
      <c r="G300" s="218"/>
      <c r="H300" s="219"/>
      <c r="I300" s="213" t="str" cm="1">
        <f t="array" ref="I300">_xlfn.IFS(OR(D262=0,D263="　"),"",MID(D265,1,3)="アルミ","",MID(D265,1,3)&lt;&gt;"アルミ","g")</f>
        <v>g</v>
      </c>
      <c r="J300" s="224" cm="1">
        <f t="array" ref="J300">_xlfn.IFS(OR(D262=0,D263="　"),"",MID(D265,1,3)="アルミ","",MID(D265,1,3)&lt;&gt;"アルミ",MID(LEFT(D263, LEN(D263)-1),6,2)*IF(MID(D263,4,1)="5",0.28,0.4))</f>
        <v>2.2400000000000002</v>
      </c>
      <c r="K300" s="214">
        <f>IFERROR(D262*J300,"")</f>
        <v>22.400000000000002</v>
      </c>
    </row>
    <row r="301" spans="2:11" ht="12" customHeight="1">
      <c r="B301" s="206" t="str" cm="1">
        <f t="array" ref="B301">_xlfn.IFS(OR(D262=0,D263="　"),"",MID(D265,1,3)="アルミ","",MID(D265,1,3)&lt;&gt;"アルミ","長期防錆スプレー")</f>
        <v>長期防錆スプレー</v>
      </c>
      <c r="C301" s="210" t="str" cm="1">
        <f t="array" ref="C301">_xlfn.IFS(OR(D262=0,D263="　"),"",MID(D265,1,3)="アルミ","",MID(D265,1,3)&lt;&gt;"アルミ","防錆オイル")</f>
        <v>防錆オイル</v>
      </c>
      <c r="D301" s="208"/>
      <c r="E301" s="209"/>
      <c r="F301" s="217" t="str" cm="1">
        <f t="array" ref="F301">_xlfn.IFS(OR(D262=0,D263="　"),"",MID(D265,1,3)="アルミ","",MID(D265,1,3)&lt;&gt;"アルミ","n=0.01×(PC鋼より線本数+"&amp;IF(MID(D263,4,1)="5","6","12")&amp;")")</f>
        <v>n=0.01×(PC鋼より線本数+6)</v>
      </c>
      <c r="G301" s="218"/>
      <c r="H301" s="219"/>
      <c r="I301" s="213" t="str" cm="1">
        <f t="array" ref="I301">_xlfn.IFS(OR(D262=0,D263="　"),"",MID(D265,1,3)="アルミ","",MID(D265,1,3)&lt;&gt;"アルミ","缶")</f>
        <v>缶</v>
      </c>
      <c r="J301" s="224" cm="1">
        <f t="array" ref="J301">_xlfn.IFS(OR(D262=0,D263="　"),"",MID(D265,1,3)="アルミ","",MID(D265,1,3)&lt;&gt;"アルミ",0.01*(MID(LEFT(D263, LEN(D263)-1),6,2)+IF(MID(D263,4,1)="5",6,12)))</f>
        <v>0.14000000000000001</v>
      </c>
      <c r="K301" s="214">
        <f>IFERROR(D262*J301,"")</f>
        <v>1.4000000000000001</v>
      </c>
    </row>
    <row r="302" spans="2:11" ht="12" customHeight="1">
      <c r="B302" s="206" t="str">
        <f>IF(OR(D262=0,D263="　",D268="なし"),"","フリーパッカー注入ホース")</f>
        <v/>
      </c>
      <c r="C302" s="207" t="str">
        <f>IF(OR(D262=0,D263="　",B302=""),"","16/20、高密度ポリエチレン")</f>
        <v/>
      </c>
      <c r="D302" s="208"/>
      <c r="E302" s="209"/>
      <c r="F302" s="210" t="str">
        <f>IF(B302="","","L=自由長+緊張部長")</f>
        <v/>
      </c>
      <c r="G302" s="211"/>
      <c r="H302" s="212"/>
      <c r="I302" s="213" t="str">
        <f>IF(OR(D262=0,D263="　",B302=""),"","m")</f>
        <v/>
      </c>
      <c r="J302" s="214" t="str">
        <f>IF(OR(D262=0,D263="　"),"",IF(B302="","",MROUND(D272+D273,0.1)))</f>
        <v/>
      </c>
      <c r="K302" s="214" t="str">
        <f>IFERROR(D262*J302,"")</f>
        <v/>
      </c>
    </row>
    <row r="303" spans="2:11" ht="12" customHeight="1">
      <c r="B303" s="225" t="str">
        <f>IF(OR(D262=0,D263="　",D268="なし"),"","フリーパッカー")</f>
        <v/>
      </c>
      <c r="C303" s="217" t="str" cm="1">
        <f t="array" ref="C303">IF(OR(D262=0,D263="　",B302=""),"",_xlfn.SWITCH(D277,90,"PA-170",115,"PA-200",135,"PA-240",146,"PA-240",165,"PA-350")&amp;"、織布")</f>
        <v/>
      </c>
      <c r="D303" s="208"/>
      <c r="E303" s="209"/>
      <c r="F303" s="226" t="str">
        <f>IF(B303="","","L=自由長+0.5m")</f>
        <v/>
      </c>
      <c r="G303" s="227"/>
      <c r="H303" s="228"/>
      <c r="I303" s="213" t="str">
        <f>IF(OR(D263=0,D264="　",B303=""),"","m")</f>
        <v/>
      </c>
      <c r="J303" s="214" t="str">
        <f>IF(OR(D262=0,D263="　"),"",IF(B303="","",MROUND(D272+0.5,0.1)))</f>
        <v/>
      </c>
      <c r="K303" s="214" t="str">
        <f>IFERROR(D262*J303,"")</f>
        <v/>
      </c>
    </row>
    <row r="304" spans="2:11" ht="12" customHeight="1">
      <c r="B304" s="206" t="str">
        <f>IF(OR(D262=0,D263="　",D268="なし"),"","パッカー取付加工")</f>
        <v/>
      </c>
      <c r="C304" s="207"/>
      <c r="D304" s="208"/>
      <c r="E304" s="209"/>
      <c r="F304" s="217" t="str">
        <f>IF(B304="","","n=1")</f>
        <v/>
      </c>
      <c r="G304" s="218"/>
      <c r="H304" s="219"/>
      <c r="I304" s="213" t="str">
        <f>IF(OR(D264=0,D265="　",B304=""),"","式")</f>
        <v/>
      </c>
      <c r="J304" s="220" t="str">
        <f>IF(OR(D262=0,D263="　"),"",MID(F304,3,2))</f>
        <v/>
      </c>
      <c r="K304" s="206" t="str">
        <f>IFERROR(D262*J304,"")</f>
        <v/>
      </c>
    </row>
    <row r="305" spans="2:13" ht="12" customHeight="1">
      <c r="B305" s="229"/>
      <c r="C305" s="230"/>
      <c r="D305" s="231"/>
      <c r="E305" s="232"/>
      <c r="F305" s="233"/>
      <c r="G305" s="234"/>
      <c r="H305" s="235"/>
      <c r="I305" s="236"/>
      <c r="J305" s="237"/>
      <c r="K305" s="229"/>
    </row>
    <row r="306" spans="2:13" ht="12" customHeight="1">
      <c r="B306" s="238" t="s">
        <v>30</v>
      </c>
      <c r="C306" s="239" t="s">
        <v>31</v>
      </c>
      <c r="D306" s="240"/>
      <c r="E306" s="241"/>
      <c r="F306" s="242" t="s">
        <v>157</v>
      </c>
      <c r="G306" s="243"/>
      <c r="H306" s="244"/>
      <c r="I306" s="245" t="s">
        <v>55</v>
      </c>
      <c r="J306" s="246">
        <f>IFERROR(MROUND(0.25*PI()*(0.001*D277)^2*(D270+D271+D276)*(1+2.2),0.01),"")</f>
        <v>0.17</v>
      </c>
      <c r="K306" s="246">
        <f>IFERROR(D262*J306,"")</f>
        <v>1.7000000000000002</v>
      </c>
    </row>
    <row r="308" spans="2:13" ht="12" customHeight="1">
      <c r="B308" s="247" t="s">
        <v>136</v>
      </c>
      <c r="C308" s="247"/>
      <c r="D308" s="247"/>
      <c r="F308" s="163"/>
      <c r="G308" s="164"/>
      <c r="H308" s="164"/>
    </row>
    <row r="309" spans="2:13" ht="12" customHeight="1">
      <c r="B309" s="15" t="s">
        <v>111</v>
      </c>
      <c r="C309" s="15"/>
      <c r="D309" s="1"/>
      <c r="E309" s="1"/>
      <c r="H309" s="119"/>
      <c r="J309" s="118"/>
    </row>
    <row r="310" spans="2:13" ht="12" customHeight="1">
      <c r="B310" s="165" t="s">
        <v>165</v>
      </c>
      <c r="C310" s="3"/>
      <c r="D310" s="1"/>
      <c r="E310" s="1"/>
      <c r="F310" s="8"/>
      <c r="G310" s="8"/>
      <c r="H310" s="102"/>
      <c r="I310" s="28"/>
      <c r="J310" s="118"/>
    </row>
    <row r="311" spans="2:13" ht="12" customHeight="1">
      <c r="B311" s="15" t="s">
        <v>40</v>
      </c>
      <c r="C311" s="3"/>
      <c r="D311" s="1"/>
      <c r="E311" s="1"/>
      <c r="F311" s="15" t="s">
        <v>54</v>
      </c>
      <c r="G311" s="15"/>
      <c r="H311" s="102"/>
      <c r="I311" s="28"/>
    </row>
    <row r="312" spans="2:13" ht="12" customHeight="1">
      <c r="B312" s="2" t="s">
        <v>53</v>
      </c>
      <c r="C312" s="2" t="s">
        <v>21</v>
      </c>
      <c r="D312" s="2" t="s">
        <v>22</v>
      </c>
      <c r="E312" s="17"/>
      <c r="F312" s="49" t="s">
        <v>41</v>
      </c>
      <c r="G312" s="97" t="s">
        <v>59</v>
      </c>
      <c r="H312" s="49" t="s">
        <v>44</v>
      </c>
      <c r="I312" s="2" t="s">
        <v>21</v>
      </c>
      <c r="J312" s="49" t="s">
        <v>138</v>
      </c>
      <c r="K312" s="2" t="s">
        <v>28</v>
      </c>
    </row>
    <row r="313" spans="2:13" ht="12" customHeight="1">
      <c r="B313" s="166" t="s">
        <v>25</v>
      </c>
      <c r="C313" s="18" t="s">
        <v>24</v>
      </c>
      <c r="D313" s="167">
        <v>10</v>
      </c>
      <c r="E313" s="19"/>
      <c r="F313" s="168" t="s">
        <v>43</v>
      </c>
      <c r="G313" s="169" t="s">
        <v>113</v>
      </c>
      <c r="H313" s="88" t="str" cm="1">
        <f t="array" ref="H313">_xlfn.IFS(AND(F313&lt;&gt;"非削孔",F313&lt;&gt;"無設定"),D328,F313="非削孔",IF(MID(D317,1,3)="土留め","非削孔","箱抜き"),F313="無設定","無設定")</f>
        <v>箱抜き</v>
      </c>
      <c r="I313" s="23" t="str">
        <f>IF(F313="無設定","","m")</f>
        <v>m</v>
      </c>
      <c r="J313" s="170">
        <v>0.5</v>
      </c>
      <c r="K313" s="30">
        <f>D313*J313</f>
        <v>5</v>
      </c>
    </row>
    <row r="314" spans="2:13" ht="12" customHeight="1">
      <c r="B314" s="171" t="s">
        <v>37</v>
      </c>
      <c r="C314" s="50" t="s">
        <v>38</v>
      </c>
      <c r="D314" s="172" t="s">
        <v>159</v>
      </c>
      <c r="E314" s="173"/>
      <c r="F314" s="174" t="s">
        <v>49</v>
      </c>
      <c r="G314" s="169" t="s">
        <v>114</v>
      </c>
      <c r="H314" s="88" cm="1">
        <f t="array" ref="H314">_xlfn.IFS(AND(F314&lt;&gt;"非削孔",F314&lt;&gt;"無設定"),D328,F314="非削孔","箱抜き",F314="無設定","無設定")</f>
        <v>90</v>
      </c>
      <c r="I314" s="23" t="str">
        <f t="shared" ref="I314:I322" si="12">IF(F314="無設定","","m")</f>
        <v>m</v>
      </c>
      <c r="J314" s="170">
        <v>2.64</v>
      </c>
      <c r="K314" s="30">
        <f>D313*J314</f>
        <v>26.400000000000002</v>
      </c>
    </row>
    <row r="315" spans="2:13" ht="12" customHeight="1">
      <c r="B315" s="52" t="s">
        <v>39</v>
      </c>
      <c r="C315" s="91" t="s">
        <v>38</v>
      </c>
      <c r="D315" s="175" t="s">
        <v>60</v>
      </c>
      <c r="E315" s="140"/>
      <c r="F315" s="174" t="s">
        <v>49</v>
      </c>
      <c r="G315" s="169" t="s">
        <v>115</v>
      </c>
      <c r="H315" s="88" cm="1">
        <f t="array" ref="H315">_xlfn.IFS(AND(F315&lt;&gt;"非削孔",F315&lt;&gt;"無設定"),D328,F315="非削孔","箱抜き",F315="無設定","無設定")</f>
        <v>90</v>
      </c>
      <c r="I315" s="23" t="str">
        <f t="shared" si="12"/>
        <v>m</v>
      </c>
      <c r="J315" s="170">
        <v>5.36</v>
      </c>
      <c r="K315" s="30">
        <f>D313*J315</f>
        <v>53.6</v>
      </c>
    </row>
    <row r="316" spans="2:13" ht="12" customHeight="1">
      <c r="B316" s="147" t="s">
        <v>140</v>
      </c>
      <c r="C316" s="91" t="s">
        <v>38</v>
      </c>
      <c r="D316" s="176" t="s">
        <v>141</v>
      </c>
      <c r="E316" s="141"/>
      <c r="F316" s="174" t="s">
        <v>48</v>
      </c>
      <c r="G316" s="169"/>
      <c r="H316" s="88" t="str" cm="1">
        <f t="array" ref="H316">_xlfn.IFS(AND(F316&lt;&gt;"非削孔",F316&lt;&gt;"無設定"),D328,F316="非削孔","箱抜き",F316="無設定","無設定")</f>
        <v>無設定</v>
      </c>
      <c r="I316" s="23" t="str">
        <f t="shared" si="12"/>
        <v/>
      </c>
      <c r="J316" s="170">
        <v>0</v>
      </c>
      <c r="K316" s="30">
        <f>D313*J316</f>
        <v>0</v>
      </c>
      <c r="M316" s="112"/>
    </row>
    <row r="317" spans="2:13" ht="12" customHeight="1">
      <c r="B317" s="147" t="s">
        <v>142</v>
      </c>
      <c r="C317" s="91" t="s">
        <v>38</v>
      </c>
      <c r="D317" s="177" t="s">
        <v>160</v>
      </c>
      <c r="E317" s="21"/>
      <c r="F317" s="174" t="s">
        <v>48</v>
      </c>
      <c r="G317" s="169"/>
      <c r="H317" s="88" t="str" cm="1">
        <f t="array" ref="H317">_xlfn.IFS(AND(F317&lt;&gt;"非削孔",F317&lt;&gt;"無設定"),D328,F317="非削孔","箱抜き",F317="無設定","無設定")</f>
        <v>無設定</v>
      </c>
      <c r="I317" s="23" t="str">
        <f t="shared" si="12"/>
        <v/>
      </c>
      <c r="J317" s="170">
        <v>0</v>
      </c>
      <c r="K317" s="30">
        <f>D313*J317</f>
        <v>0</v>
      </c>
    </row>
    <row r="318" spans="2:13" ht="12" customHeight="1">
      <c r="B318" s="114" t="str">
        <f>IF(MID(D317,1,3)="土留め",D317&amp;"の種類","")</f>
        <v/>
      </c>
      <c r="C318" s="91" t="s">
        <v>38</v>
      </c>
      <c r="D318" s="178" t="s">
        <v>71</v>
      </c>
      <c r="E318" s="21"/>
      <c r="F318" s="174" t="s">
        <v>48</v>
      </c>
      <c r="G318" s="169"/>
      <c r="H318" s="88" t="str" cm="1">
        <f t="array" ref="H318">_xlfn.IFS(AND(F318&lt;&gt;"非削孔",F318&lt;&gt;"無設定"),D328,F318="非削孔","箱抜き",F318="無設定","無設定")</f>
        <v>無設定</v>
      </c>
      <c r="I318" s="23" t="str">
        <f t="shared" si="12"/>
        <v/>
      </c>
      <c r="J318" s="170">
        <v>0</v>
      </c>
      <c r="K318" s="30">
        <f>D313*J318</f>
        <v>0</v>
      </c>
    </row>
    <row r="319" spans="2:13" ht="12" customHeight="1">
      <c r="B319" s="179" t="s">
        <v>50</v>
      </c>
      <c r="C319" s="180" t="s">
        <v>38</v>
      </c>
      <c r="D319" s="181" t="s">
        <v>51</v>
      </c>
      <c r="E319" s="182"/>
      <c r="F319" s="174" t="s">
        <v>48</v>
      </c>
      <c r="G319" s="169"/>
      <c r="H319" s="88" t="str" cm="1">
        <f t="array" ref="H319">_xlfn.IFS(AND(F319&lt;&gt;"非削孔",F319&lt;&gt;"無設定"),D328,F319="非削孔","箱抜き",F319="無設定","無設定")</f>
        <v>無設定</v>
      </c>
      <c r="I319" s="23" t="str">
        <f t="shared" si="12"/>
        <v/>
      </c>
      <c r="J319" s="170">
        <v>0</v>
      </c>
      <c r="K319" s="30">
        <f>D313*J319</f>
        <v>0</v>
      </c>
    </row>
    <row r="320" spans="2:13" ht="12" customHeight="1">
      <c r="B320" s="160" t="str" cm="1">
        <f t="array" ref="B320">"頭部自由長"&amp;_xlfn.IFS(MID(D317,1,2)="なし","",MID(D317,1,3)="受圧体","(受圧体)",MID(D317,1,3)="のり面","(角度台座＋受圧体)",MID(D317,1,3)="構造物","(壁面台座)",MID(D317,1,3)="土留め","(台座+腹起し)")&amp;"　Lfh"</f>
        <v>頭部自由長(角度台座＋受圧体)　Lfh</v>
      </c>
      <c r="C320" s="155" t="s">
        <v>23</v>
      </c>
      <c r="D320" s="183">
        <v>0.5</v>
      </c>
      <c r="E320" s="21"/>
      <c r="F320" s="174" t="s">
        <v>144</v>
      </c>
      <c r="G320" s="169"/>
      <c r="H320" s="88" cm="1">
        <f t="array" ref="H320">_xlfn.IFS(AND(F320&lt;&gt;"非削孔",F320&lt;&gt;"無設定"),D328,F320="非削孔","箱抜き",F320="無設定","無設定")</f>
        <v>90</v>
      </c>
      <c r="I320" s="23" t="str">
        <f t="shared" si="12"/>
        <v>m</v>
      </c>
      <c r="J320" s="170">
        <v>0</v>
      </c>
      <c r="K320" s="30">
        <f>D313*J320</f>
        <v>0</v>
      </c>
    </row>
    <row r="321" spans="2:13" ht="12" customHeight="1">
      <c r="B321" s="22" t="s">
        <v>108</v>
      </c>
      <c r="C321" s="23" t="s">
        <v>23</v>
      </c>
      <c r="D321" s="184">
        <v>4</v>
      </c>
      <c r="E321" s="21"/>
      <c r="F321" s="174" t="s">
        <v>48</v>
      </c>
      <c r="G321" s="169"/>
      <c r="H321" s="88" t="str" cm="1">
        <f t="array" ref="H321">_xlfn.IFS(AND(F321&lt;&gt;"非削孔",F321&lt;&gt;"無設定"),D328,F321="非削孔","箱抜き",F321="無設定","無設定")</f>
        <v>無設定</v>
      </c>
      <c r="I321" s="23" t="str">
        <f t="shared" si="12"/>
        <v/>
      </c>
      <c r="J321" s="170">
        <v>0</v>
      </c>
      <c r="K321" s="30">
        <f>D313*J321</f>
        <v>0</v>
      </c>
    </row>
    <row r="322" spans="2:13" ht="12" customHeight="1">
      <c r="B322" s="157" t="s">
        <v>36</v>
      </c>
      <c r="C322" s="158" t="s">
        <v>23</v>
      </c>
      <c r="D322" s="185">
        <v>4</v>
      </c>
      <c r="F322" s="186" t="str" cm="1">
        <f t="array" ref="F322">INDEX(F313:H321,MATCH("無設定",F313:F321,0)-1,MATCH(F312,F312:H312,0))</f>
        <v>軟　岩</v>
      </c>
      <c r="G322" s="100" t="str" cm="1">
        <f t="array" ref="G322">INDEX(F313:H321,MATCH("無設定",F313:F321,0)-1,MATCH(G312,F312:H312,0))&amp;"　(先端長 L2d)"</f>
        <v>風化岩 CL　(先端長 L2d)</v>
      </c>
      <c r="H322" s="88" cm="1">
        <f t="array" ref="H322">INDEX(F313:H321,MATCH("無設定",F313:F321,0)-1,MATCH(H312,F312:H312,0))</f>
        <v>90</v>
      </c>
      <c r="I322" s="23" t="str">
        <f t="shared" si="12"/>
        <v>m</v>
      </c>
      <c r="J322" s="98">
        <f>D327</f>
        <v>0.25</v>
      </c>
      <c r="K322" s="78">
        <f>IFERROR(D313*J322,"")</f>
        <v>2.5</v>
      </c>
    </row>
    <row r="323" spans="2:13" ht="12" customHeight="1">
      <c r="B323" s="154" t="s">
        <v>145</v>
      </c>
      <c r="C323" s="155" t="s">
        <v>23</v>
      </c>
      <c r="D323" s="187">
        <f>IF(OR(D313=0,D314="　"),"──",SUM(D320:D321))</f>
        <v>4.5</v>
      </c>
      <c r="E323" s="19"/>
      <c r="F323" s="188"/>
      <c r="G323" s="75" t="s">
        <v>124</v>
      </c>
      <c r="H323" s="103"/>
      <c r="I323" s="18" t="s">
        <v>23</v>
      </c>
      <c r="J323" s="74">
        <f>SUMIFS(J313:J322,F313:F322,"&lt;&gt;非削孔",F313:F322,"&lt;&gt;無設定")</f>
        <v>8.25</v>
      </c>
      <c r="K323" s="95">
        <f>SUMIFS(K313:K322,F313:F322,"&lt;&gt;非削孔",F313:F322,"&lt;&gt;無設定")</f>
        <v>82.5</v>
      </c>
    </row>
    <row r="324" spans="2:13" ht="12" customHeight="1">
      <c r="B324" s="146" t="s">
        <v>146</v>
      </c>
      <c r="C324" s="23" t="s">
        <v>23</v>
      </c>
      <c r="D324" s="189" cm="1">
        <f t="array" ref="D324">IF(OR(D313=0,D314="　"),"──",IF(MID(D314,4,1)="5",_xlfn.IFS(1*MID(LEFT(D314, LEN(D314)-1),6,2)&lt;8,1,1*MID(LEFT(D314, LEN(D314)-1),6,2)&lt;13,1.2),_xlfn.IFS(1*MID(LEFT(D314, LEN(D314)-1),6,2)&lt;6,1,1*MID(LEFT(D314, LEN(D314)-1),6,2)&lt;15,1.2)))</f>
        <v>1</v>
      </c>
      <c r="E324" s="19"/>
      <c r="F324" s="190"/>
      <c r="G324" s="76" t="s">
        <v>47</v>
      </c>
      <c r="H324" s="104"/>
      <c r="I324" s="79" t="s">
        <v>46</v>
      </c>
      <c r="J324" s="77" t="str">
        <f>IF(OR(D313=0,D314="　"),"",IF(SUM(D321:D322,D327)=J323,"OK","NG"))</f>
        <v>OK</v>
      </c>
      <c r="K324" s="145" t="str">
        <f>IF(J324&lt;&gt;"NG","──",J323-SUM(D321:D322,D327))</f>
        <v>──</v>
      </c>
      <c r="M324" s="144"/>
    </row>
    <row r="325" spans="2:13" ht="12" customHeight="1">
      <c r="B325" s="22" t="s">
        <v>125</v>
      </c>
      <c r="C325" s="23" t="s">
        <v>35</v>
      </c>
      <c r="D325" s="84">
        <f>IF(OR(D313=0,D314="　"),"──",0.2)</f>
        <v>0.2</v>
      </c>
      <c r="F325" s="191" t="s">
        <v>58</v>
      </c>
      <c r="G325" s="248" t="s">
        <v>110</v>
      </c>
      <c r="H325" s="249"/>
      <c r="I325" s="249"/>
      <c r="J325" s="249"/>
      <c r="K325" s="250"/>
    </row>
    <row r="326" spans="2:13" ht="12" customHeight="1">
      <c r="B326" s="6" t="s">
        <v>147</v>
      </c>
      <c r="C326" s="23" t="s">
        <v>23</v>
      </c>
      <c r="D326" s="60">
        <f>IF(OR(D313=0,D314="　"),"──",SUM(D322:D325))</f>
        <v>9.6999999999999993</v>
      </c>
    </row>
    <row r="327" spans="2:13" ht="12" customHeight="1">
      <c r="B327" s="25" t="s">
        <v>127</v>
      </c>
      <c r="C327" s="26" t="s">
        <v>23</v>
      </c>
      <c r="D327" s="27">
        <f>IF(OR(D313=0,D314="　"),"──",0.25)</f>
        <v>0.25</v>
      </c>
      <c r="F327" s="8"/>
      <c r="G327" s="8"/>
      <c r="H327" s="102"/>
    </row>
    <row r="328" spans="2:13" ht="12" customHeight="1">
      <c r="B328" s="95" t="s">
        <v>123</v>
      </c>
      <c r="C328" s="18" t="s">
        <v>32</v>
      </c>
      <c r="D328" s="192">
        <v>90</v>
      </c>
      <c r="E328" s="193" t="str">
        <f>IF(D328&lt;D329,"NG：削孔径不適合","")</f>
        <v/>
      </c>
      <c r="F328" s="8"/>
      <c r="G328" s="8"/>
      <c r="H328" s="102"/>
    </row>
    <row r="329" spans="2:13" ht="12" customHeight="1">
      <c r="B329" s="25" t="s">
        <v>122</v>
      </c>
      <c r="C329" s="26" t="s">
        <v>32</v>
      </c>
      <c r="D329" s="194" cm="1">
        <f t="array" ref="D329">IF(OR(D313=0,D314="　"),"──",IF(D319="なし",IF(MID(D314,4,1)="5",_xlfn.IFS(1*MID(LEFT(D314, LEN(D314)-1),6,2)&lt;6,90,1*MID(LEFT(D314, LEN(D314)-1),6,2)&lt;9,115,1*MID(LEFT(D314, LEN(D314)-1),6,2)&gt;8,135),_xlfn.IFS(1*MID(LEFT(D314, LEN(D314)-1),6,2)&lt;4,90,1*MID(LEFT(D314, LEN(D314)-1),6,2)&lt;7,115,1*MID(LEFT(D314, LEN(D314)-1),6,2)&lt;10,135,1*MID(LEFT(D314, LEN(D314)-1),6,2)&lt;13,146,1*MID(LEFT(D314, LEN(D314)-1),6,2)&gt;12,165)),IF(MID(D314,4,1)="5",_xlfn.IFS(1*MID(LEFT(D314, LEN(D314)-1),6,2)&lt;3,90,1*MID(LEFT(D314, LEN(D314)-1),6,2)&lt;7,115,1*MID(LEFT(D314, LEN(D314)-1),6,2)&lt;9,135,1*MID(LEFT(D314, LEN(D314)-1),6,2)&gt;8,146),_xlfn.IFS(1*MID(LEFT(D314, LEN(D314)-1),6,2)&lt;3,90,1*MID(LEFT(D314, LEN(D314)-1),6,2)&lt;4,115,1*MID(LEFT(D314, LEN(D314)-1),6,2)&lt;6,135,1*MID(LEFT(D314, LEN(D314)-1),6,2)&lt;10,146,1*MID(LEFT(D314, LEN(D314)-1),6,2)&lt;13,165,1*MID(LEFT(D314, LEN(D314)-1),6,2)&gt;12,216))))</f>
        <v>90</v>
      </c>
      <c r="E329" s="195"/>
      <c r="F329" s="8"/>
      <c r="G329" s="8"/>
      <c r="H329" s="102"/>
    </row>
    <row r="330" spans="2:13" ht="12" customHeight="1">
      <c r="B330" s="20"/>
      <c r="C330" s="46"/>
      <c r="D330" s="117"/>
      <c r="F330" s="8"/>
      <c r="G330" s="8"/>
      <c r="H330" s="102"/>
    </row>
    <row r="331" spans="2:13" ht="12" customHeight="1">
      <c r="B331" s="15" t="str">
        <f>"■"&amp;MID(B308,2,14)</f>
        <v>■本設：EHDアンカーHP工法</v>
      </c>
      <c r="C331" s="3"/>
      <c r="D331" s="1"/>
      <c r="E331" s="1"/>
      <c r="F331" s="8"/>
      <c r="G331" s="8"/>
      <c r="H331" s="102"/>
    </row>
    <row r="332" spans="2:13" ht="12" customHeight="1">
      <c r="B332" s="2" t="s">
        <v>17</v>
      </c>
      <c r="C332" s="43"/>
      <c r="D332" s="196" t="s">
        <v>148</v>
      </c>
      <c r="E332" s="135"/>
      <c r="F332" s="16"/>
      <c r="G332" s="61" t="s">
        <v>42</v>
      </c>
      <c r="H332" s="97"/>
      <c r="I332" s="2" t="s">
        <v>21</v>
      </c>
      <c r="J332" s="49" t="s">
        <v>149</v>
      </c>
      <c r="K332" s="2" t="s">
        <v>28</v>
      </c>
    </row>
    <row r="333" spans="2:13" ht="12" customHeight="1">
      <c r="B333" s="197" t="s">
        <v>150</v>
      </c>
      <c r="C333" s="198" t="str">
        <f>IF(OR(D313=0,D314="　"),"",D314&amp;" ("&amp;MID(LEFT(D314, LEN(D314)-1),6,2)&amp;IF(MID(D314,4,1)="5","φ12.7","φ15.2")&amp;")")</f>
        <v>EHD5-4H (4φ12.7)</v>
      </c>
      <c r="D333" s="199"/>
      <c r="E333" s="200"/>
      <c r="F333" s="201" t="str">
        <f>"W=テンドン長×PC鋼より線本数×"&amp;IF(MID(D314,4,1)="5","0.774","1.101")&amp;"kg/m"</f>
        <v>W=テンドン長×PC鋼より線本数×0.774kg/m</v>
      </c>
      <c r="G333" s="202"/>
      <c r="H333" s="203"/>
      <c r="I333" s="204" t="s">
        <v>11</v>
      </c>
      <c r="J333" s="205">
        <f>IF(OR(D313=0,D314="　"),"",MROUND(D326*MID(LEFT(D314, LEN(D314)-1),6,2)*IF(MID(D314,4,1)="5","0.774","1.101"),0.01))</f>
        <v>30.03</v>
      </c>
      <c r="K333" s="205">
        <f>IFERROR(D313*J333,"")</f>
        <v>300.3</v>
      </c>
      <c r="L333" s="13"/>
    </row>
    <row r="334" spans="2:13" ht="12" customHeight="1">
      <c r="B334" s="206" t="s">
        <v>151</v>
      </c>
      <c r="C334" s="207"/>
      <c r="D334" s="208"/>
      <c r="E334" s="209"/>
      <c r="F334" s="210" t="s">
        <v>33</v>
      </c>
      <c r="G334" s="211"/>
      <c r="H334" s="212"/>
      <c r="I334" s="213" t="s">
        <v>12</v>
      </c>
      <c r="J334" s="214">
        <f>IF(OR(D313=0,D314="　"),"",MROUND(D326,0.1))</f>
        <v>9.7000000000000011</v>
      </c>
      <c r="K334" s="214">
        <f>IFERROR(D313*J334,"")</f>
        <v>97.000000000000014</v>
      </c>
    </row>
    <row r="335" spans="2:13" ht="12" customHeight="1">
      <c r="B335" s="206" t="str">
        <f>"頭部キャップ"</f>
        <v>頭部キャップ</v>
      </c>
      <c r="C335" s="207" t="str" cm="1">
        <f t="array" ref="C335">IF(OR(D313=0,D314="　"),"",IF(MID(D314,4,1)="5",_xlfn.SWITCH(1*MID(LEFT(D314, LEN(D314)-1),6,2),1,"S",2,"S",3,"S",4,"S",5,"M",6,"M",7,"M",8,"L",9,"L",10,"L",11,"L",12,"L"),_xlfn.SWITCH(1*MID(LEFT(D314, LEN(D314)-1),6,2),1,"S",2,"S",3,"M",4,"M",5,"L",6,"L",7,"L",8,"LL",9,"LL",10,"LL",11,"LL",12,"LL",13,"LL",14,"LL"))&amp;"型"&amp;D316&amp;IF(OR(MID(D316,1,2)="透明",MID(D316,1,2)="5窓"),"、PC樹脂","")&amp;"、ｱﾙﾐAC4C相当"&amp;_xlfn.IFS(MID(D315,1,3)="防食Ⅱ","",MID(D315,5,2)="塩害","、防食：ﾀｹｺｰﾄ処理",MID(D315,5,2)="酸性","、防食：重防食処理"))</f>
        <v>S型透明キャップ、PC樹脂、ｱﾙﾐAC4C相当</v>
      </c>
      <c r="D335" s="215"/>
      <c r="E335" s="216"/>
      <c r="F335" s="217" t="str">
        <f t="shared" ref="F335:F341" si="13">"n=1"</f>
        <v>n=1</v>
      </c>
      <c r="G335" s="218"/>
      <c r="H335" s="219"/>
      <c r="I335" s="213" t="s">
        <v>13</v>
      </c>
      <c r="J335" s="220" t="str">
        <f>IF(OR(D313=0,D314="　"),"",MID(F335,3,2))</f>
        <v>1</v>
      </c>
      <c r="K335" s="214">
        <f>IFERROR(D313*J335,"")</f>
        <v>10</v>
      </c>
    </row>
    <row r="336" spans="2:13" ht="12" customHeight="1">
      <c r="B336" s="206" t="s">
        <v>5</v>
      </c>
      <c r="C336" s="207" t="str" cm="1">
        <f t="array" ref="C336">IF(OR(D313=0,D314="　"),"",IF(MID(D314,4,1)="5","G5"&amp;_xlfn.SWITCH(1*MID(LEFT(D314, LEN(D314)-1),6,2),1,"01",2,"02",3,"03",4,"04",5,"07",6,"07",7,"07",8,"09",9,"09",10,"12",11,"12",12,"12"),"G6"&amp;_xlfn.SWITCH(1*MID(LEFT(D314, LEN(D314)-1),6,2),1,"01",2,"02",3,"03",4,"04",5,"07",6,"07",7,"07",8,"09",9,"09",10,"12",11,"12",12,"12",13,"14",14,"14"))&amp;"、S45C相当"&amp;IF(MID(D316,1,3)&lt;&gt;"アルミ","、防食：無電解Niめっき",""))</f>
        <v>G504、S45C相当、防食：無電解Niめっき</v>
      </c>
      <c r="D336" s="208"/>
      <c r="E336" s="209"/>
      <c r="F336" s="217" t="str">
        <f t="shared" si="13"/>
        <v>n=1</v>
      </c>
      <c r="G336" s="218"/>
      <c r="H336" s="219"/>
      <c r="I336" s="213" t="s">
        <v>13</v>
      </c>
      <c r="J336" s="220" t="str">
        <f>IF(OR(D313=0,D314="　"),"",MID(F336,3,2))</f>
        <v>1</v>
      </c>
      <c r="K336" s="214">
        <f>IFERROR(D313*J336,"")</f>
        <v>10</v>
      </c>
    </row>
    <row r="337" spans="2:11" ht="12" customHeight="1">
      <c r="B337" s="206" t="s">
        <v>152</v>
      </c>
      <c r="C337" s="207" t="str" cm="1">
        <f t="array" ref="C337">IF(OR(D313=0,D314="　"),"",IF(MID(D314,4,1)="5","G5"&amp;_xlfn.SWITCH(1*MID(LEFT(D314, LEN(D314)-1),6,2),1,"01",2,"02",3,"03",4,"04",5,"07",6,"07",7,"07",8,"09",9,"09",10,"12",11,"12",12,"12"),"G6"&amp;_xlfn.SWITCH(1*MID(LEFT(D314, LEN(D314)-1),6,2),1,"01",2,"02",3,"03",4,"04",5,"07",6,"07",7,"07",8,"09",9,"09",10,"12",11,"12",12,"12",13,"14",14,"14"))&amp;"、S45C相当"&amp;IF(MID(D316,1,3)&lt;&gt;"アルミ","、防食：無電解Niめっき",""))</f>
        <v>G504、S45C相当、防食：無電解Niめっき</v>
      </c>
      <c r="D337" s="208"/>
      <c r="E337" s="209"/>
      <c r="F337" s="217" t="str">
        <f t="shared" si="13"/>
        <v>n=1</v>
      </c>
      <c r="G337" s="218"/>
      <c r="H337" s="219"/>
      <c r="I337" s="213" t="s">
        <v>13</v>
      </c>
      <c r="J337" s="220" t="str">
        <f>IF(OR(D313=0,D314="　"),"",MID(F337,3,2))</f>
        <v>1</v>
      </c>
      <c r="K337" s="214">
        <f>IFERROR(D313*J337,"")</f>
        <v>10</v>
      </c>
    </row>
    <row r="338" spans="2:11" ht="12" customHeight="1">
      <c r="B338" s="206" t="s">
        <v>7</v>
      </c>
      <c r="C338" s="207" t="str">
        <f>IF(OR(D313=0,D314="　"),"",IF(1*MID(D314,4,1)=5,"ECF12.7","ECF15.2")&amp;"、SCM415相当"&amp;IF(MID(D316,1,3)&lt;&gt;"アルミ","、防食：無電解Niめっき",""))</f>
        <v>ECF12.7、SCM415相当、防食：無電解Niめっき</v>
      </c>
      <c r="D338" s="208"/>
      <c r="E338" s="209"/>
      <c r="F338" s="217" t="str">
        <f t="shared" si="13"/>
        <v>n=1</v>
      </c>
      <c r="G338" s="218"/>
      <c r="H338" s="219"/>
      <c r="I338" s="213" t="s">
        <v>27</v>
      </c>
      <c r="J338" s="220" t="str">
        <f>IF(OR(D313=0,D314="　"),"",MID(F338,3,2))</f>
        <v>1</v>
      </c>
      <c r="K338" s="214">
        <f>IFERROR(D313*J338,"")</f>
        <v>10</v>
      </c>
    </row>
    <row r="339" spans="2:11" ht="12" customHeight="1">
      <c r="B339" s="206" t="s">
        <v>153</v>
      </c>
      <c r="C339" s="207" t="str" cm="1">
        <f t="array" ref="C339">IF(OR(D313=0,D314="　"),"",IF(MID(D314,4,1)="5","G5"&amp;_xlfn.SWITCH(1*MID(LEFT(D314, LEN(D314)-1),6,2),1,"01",2,"04",3,"03",4,"04",5,"07",6,"07",7,"07",8,"12",9,"12",10,"12",11,"12",12,"12"),"G6"&amp;_xlfn.SWITCH(1*MID(LEFT(D314, LEN(D314)-1),6,2),1,"01",2,"02",3,"03",4,"04",5,"07",6,"07",7,"07",8,"12",9,"12",10,"12",11,"12",12,"12",13,"14",14,"14"))&amp;"、SS400相当、防食："&amp;_xlfn.IFS(MID(D315,1,3)="防食Ⅱ","HDZT77めっき",MID(D315,5,2)="塩害","ｱﾙﾐﾅｲｽﾞ処理",MID(D315,5,2)="酸性","重防食処理"))</f>
        <v>G504、SS400相当、防食：HDZT77めっき</v>
      </c>
      <c r="D339" s="208"/>
      <c r="E339" s="209"/>
      <c r="F339" s="217" t="str">
        <f t="shared" si="13"/>
        <v>n=1</v>
      </c>
      <c r="G339" s="218"/>
      <c r="H339" s="219"/>
      <c r="I339" s="213" t="s">
        <v>16</v>
      </c>
      <c r="J339" s="220" t="str">
        <f>IF(OR(D313=0,D314="　"),"",MID(F339,3,2))</f>
        <v>1</v>
      </c>
      <c r="K339" s="214">
        <f>IFERROR(D313*J339,"")</f>
        <v>10</v>
      </c>
    </row>
    <row r="340" spans="2:11" ht="12" customHeight="1">
      <c r="B340" s="206" t="str">
        <f>IF(MID(D317,1,3)="のり面","管付","")&amp;"支圧板"</f>
        <v>管付支圧板</v>
      </c>
      <c r="C340" s="221" t="str" cm="1">
        <f t="array" ref="C340">IF(OR(D313=0,D314="　"),"","PL"&amp;IF(MID(D317,1,3)="のり面","P","")&amp;IF(MID(D314,4,1)="5","5-"&amp;_xlfn.SWITCH(1*MID(LEFT(D314, LEN(D314)-1),6,2),1,"1",2,"2",3,"3",4,"4",5,"5",6,"6",7,"7",8,"9",9,"9",10,"10",11,"11",12,"12"),"6-"&amp;_xlfn.SWITCH(1*MID(LEFT(D314, LEN(D314)-1),6,2),1,"1",2,"2",3,"3",4,"4",5,"6",6,"6",7,"7",8,"8",9,"9",10,"10",11,"11",12,"12",13,"14",14,"14"))&amp;"、SS400相当、防食："&amp;_xlfn.IFS(MID(D315,1,3)="防食Ⅱ","HDZT77めっき",MID(D315,5,2)="塩害","ｱﾙﾐﾅｲｽﾞ処理",MID(D315,5,2)="酸性","重防食処理"))</f>
        <v>PLP5-4、SS400相当、防食：HDZT77めっき</v>
      </c>
      <c r="D340" s="208"/>
      <c r="E340" s="209"/>
      <c r="F340" s="217" t="str">
        <f t="shared" si="13"/>
        <v>n=1</v>
      </c>
      <c r="G340" s="218"/>
      <c r="H340" s="219"/>
      <c r="I340" s="213" t="s">
        <v>16</v>
      </c>
      <c r="J340" s="220" t="str">
        <f>IF(OR(D313=0,D314="　"),"",MID(F340,3,2))</f>
        <v>1</v>
      </c>
      <c r="K340" s="214">
        <f>IFERROR(D313*J340,"")</f>
        <v>10</v>
      </c>
    </row>
    <row r="341" spans="2:11" ht="12" customHeight="1">
      <c r="B341" s="206" t="s">
        <v>154</v>
      </c>
      <c r="C341" s="207" t="str">
        <f>IF(OR(D313=0,D314="　"),"","G"&amp;MID(LEFT(D314, LEN(D314)-1),4,4)&amp;"、NBR45相当")</f>
        <v>G5-4、NBR45相当</v>
      </c>
      <c r="D341" s="208"/>
      <c r="E341" s="209"/>
      <c r="F341" s="217" t="str">
        <f t="shared" si="13"/>
        <v>n=1</v>
      </c>
      <c r="G341" s="218"/>
      <c r="H341" s="219"/>
      <c r="I341" s="213" t="s">
        <v>13</v>
      </c>
      <c r="J341" s="220" t="str">
        <f>IF(OR(D313=0,D314="　"),"",MID(F341,3,2))</f>
        <v>1</v>
      </c>
      <c r="K341" s="214">
        <f>IFERROR(D313*J341,"")</f>
        <v>10</v>
      </c>
    </row>
    <row r="342" spans="2:11" ht="12" customHeight="1">
      <c r="B342" s="206" t="str" cm="1">
        <f t="array" ref="B342">_xlfn.IFS(OR(D313=0,D314="　"),"",MID(D316,1,3)="アルミ","頭部防錆油",MID(D316,1,3)&lt;&gt;"アルミ","余長キャップ")</f>
        <v>余長キャップ</v>
      </c>
      <c r="C342" s="221" t="str" cm="1">
        <f t="array" ref="C342">_xlfn.IFS(OR(D313=0,D314="　"),"",MID(D316,1,3)="アルミ","PCコートC",MID(D316,1,3)&lt;&gt;"アルミ","TC"&amp;MID(D314,4,1)&amp;"、高密度ポチエチレン")</f>
        <v>TC5、高密度ポチエチレン</v>
      </c>
      <c r="D342" s="208"/>
      <c r="E342" s="209"/>
      <c r="F342" s="217" t="str" cm="1">
        <f t="array" ref="F342">_xlfn.IFS(OR(D313=0,D314="　"),"",MID(D316,1,3)="アルミ","W="&amp;IF(MID(D314,4,1)="5",_xlfn.SWITCH(1*MID(LEFT(D314, LEN(D314)-1),6,2),1,1.9,2,1.3,3,1.3,4,1.3,5,1.6,6,1.6,7,1.6,8,3.1,9,3.1,10,3.1,11,3.1,12,3.1),"G6"&amp;_xlfn.SWITCH(1*MID(LEFT(D314, LEN(D314)-1),6,2),1,1.8,2,1.3,3,1.8,4,1.8,5,3.3,6,3.3,7,3.3,8,9.9,9,9.9,10,9.9,11,9.9,12,9.9,13,9.9,14,9.9)),MID(D316,1,3)&lt;&gt;"アルミ","n=1")</f>
        <v>n=1</v>
      </c>
      <c r="G342" s="218"/>
      <c r="H342" s="219"/>
      <c r="I342" s="213" t="str" cm="1">
        <f t="array" ref="I342">_xlfn.IFS(OR(D313=0,D314="　"),"",MID(D316,1,3)="アルミ","kg",MID(D316,1,3)&lt;&gt;"アルミ","式")</f>
        <v>式</v>
      </c>
      <c r="J342" s="220" t="str">
        <f>IF(OR(D313=0,D314="　"),"",MID(F342,3,4))</f>
        <v>1</v>
      </c>
      <c r="K342" s="214">
        <f>IFERROR(D313*J342,"")</f>
        <v>10</v>
      </c>
    </row>
    <row r="343" spans="2:11" ht="12" customHeight="1">
      <c r="B343" s="206" t="s">
        <v>9</v>
      </c>
      <c r="C343" s="207" t="str" cm="1">
        <f t="array" ref="C343">IF(OR(D313=0,D314="　"),"",IF(MID(D314,4,1)="5","PS5-"&amp;_xlfn.SWITCH(1*MID(LEFT(D314, LEN(D314)-1),6,2),1,"7",2,"2",3,"3",4,"4",5,"7",6,"7",7,"7",8,"12",9,"12",10,"12",11,"12",12,"12"),"PS6-"&amp;_xlfn.SWITCH(1*MID(LEFT(D314, LEN(D314)-1),6,2),1,"7",2,"2",3,"3",4,"4",5,"7",6,"7",7,"7",8,"12",9,"12",10,"12",11,"12",12,"12",13,"14",14,"14"))&amp;"、高密度ポリエチレン")</f>
        <v>PS5-4、高密度ポリエチレン</v>
      </c>
      <c r="D343" s="208"/>
      <c r="E343" s="209"/>
      <c r="F343" s="217" t="str">
        <f>"n=2"</f>
        <v>n=2</v>
      </c>
      <c r="G343" s="218"/>
      <c r="H343" s="219"/>
      <c r="I343" s="213" t="s">
        <v>13</v>
      </c>
      <c r="J343" s="220" t="str">
        <f>IF(OR(D313=0,D314="　"),"",MID(F343,3,2))</f>
        <v>2</v>
      </c>
      <c r="K343" s="214">
        <f>IFERROR(D313*J343,"")</f>
        <v>20</v>
      </c>
    </row>
    <row r="344" spans="2:11" ht="12" customHeight="1">
      <c r="B344" s="206" t="s">
        <v>2</v>
      </c>
      <c r="C344" s="207" t="str" cm="1">
        <f t="array" ref="C344">IF(OR(D313=0,D314="　"),"",IF(MID(D314,4,1)="5","S5-"&amp;_xlfn.IFS(1*MID(LEFT(D314, LEN(D314)-1),6,2)&lt;6,"5",1*MID(LEFT(D314, LEN(D314)-1),6,2)&lt;9,"8",1*MID(LEFT(D314, LEN(D314)-1),6,2)&gt;8,"12"),"S6-"&amp;_xlfn.IFS(1*MID(LEFT(D314, LEN(D314)-1),6,2)&lt;4,"3",1*MID(LEFT(D314, LEN(D314)-1),6,2)&lt;7,"6",1*MID(LEFT(D314, LEN(D314)-1),6,2)&lt;10,"9",1*MID(LEFT(D314, LEN(D314)-1),6,2)&lt;13,"12",1*MID(LEFT(D314, LEN(D314)-1),6,2)&gt;12,"14"))&amp;"、ポリプロピレン")</f>
        <v>S5-5、ポリプロピレン</v>
      </c>
      <c r="D344" s="208"/>
      <c r="E344" s="209"/>
      <c r="F344" s="222" t="s">
        <v>155</v>
      </c>
      <c r="G344" s="211"/>
      <c r="H344" s="212"/>
      <c r="I344" s="213" t="s">
        <v>13</v>
      </c>
      <c r="J344" s="206">
        <f>IF(OR(D313=0,D314="　"),"",MROUND((D322-0.4)/1,1))</f>
        <v>4</v>
      </c>
      <c r="K344" s="214">
        <f>IFERROR(D313*J344,"")</f>
        <v>40</v>
      </c>
    </row>
    <row r="345" spans="2:11" ht="12" customHeight="1">
      <c r="B345" s="206" t="s">
        <v>1</v>
      </c>
      <c r="C345" s="207" t="str" cm="1">
        <f t="array" ref="C345">IF(OR(D313=0,D314="　"),"",IF(MID(D314,4,1)="5","PC5-"&amp;_xlfn.IFS(1*MID(LEFT(D314, LEN(D314)-1),6,2)&lt;5,"4",1*MID(LEFT(D314, LEN(D314)-1),6,2)&lt;8,"7",1*MID(LEFT(D314, LEN(D314)-1),6,2)&lt;10,"9",1*MID(LEFT(D314, LEN(D314)-1),6,2)&gt;9,"12"),"PC6-"&amp;_xlfn.IFS(1*MID(LEFT(D314, LEN(D314)-1),6,2)&lt;4,"3",1*MID(LEFT(D314, LEN(D314)-1),6,2)&lt;8,"7",1*MID(LEFT(D314, LEN(D314)-1),6,2)&lt;13,"12",1*MID(LEFT(D314, LEN(D314)-1),6,2)&gt;12,"14"))&amp;"、ポリプロピレン")</f>
        <v>PC5-4、ポリプロピレン</v>
      </c>
      <c r="D345" s="208"/>
      <c r="E345" s="209"/>
      <c r="F345" s="217" t="str">
        <f>"n=1"</f>
        <v>n=1</v>
      </c>
      <c r="G345" s="218"/>
      <c r="H345" s="219"/>
      <c r="I345" s="213" t="s">
        <v>13</v>
      </c>
      <c r="J345" s="220" t="str">
        <f>IF(OR(D313=0,D314="　"),"",MID(F345,3,2))</f>
        <v>1</v>
      </c>
      <c r="K345" s="214">
        <f>IFERROR(D313*J345,"")</f>
        <v>10</v>
      </c>
    </row>
    <row r="346" spans="2:11" ht="12" customHeight="1">
      <c r="B346" s="206" t="s">
        <v>3</v>
      </c>
      <c r="C346" s="207" t="str">
        <f>IF(OR(D313=0,D314="　"),"","66ナイロン")</f>
        <v>66ナイロン</v>
      </c>
      <c r="D346" s="208"/>
      <c r="E346" s="209"/>
      <c r="F346" s="222" t="s">
        <v>156</v>
      </c>
      <c r="G346" s="211"/>
      <c r="H346" s="212"/>
      <c r="I346" s="213" t="s">
        <v>14</v>
      </c>
      <c r="J346" s="206">
        <f>IF(OR(D313=0,D314="　"),"",2*J344)</f>
        <v>8</v>
      </c>
      <c r="K346" s="214">
        <f>IFERROR(D313*J346,"")</f>
        <v>80</v>
      </c>
    </row>
    <row r="347" spans="2:11" ht="12" customHeight="1">
      <c r="B347" s="206" t="s">
        <v>4</v>
      </c>
      <c r="C347" s="207" t="str">
        <f>IF(OR(D313=0,D314="　"),"","フィラメントテープ")</f>
        <v>フィラメントテープ</v>
      </c>
      <c r="D347" s="208"/>
      <c r="E347" s="209"/>
      <c r="F347" s="222" t="str">
        <f>IF(OR(D313=0,D314="　"),"","L=((自由長+緊張部長)÷@1.0m)×テープ係数"&amp;IF(MID(D314,4,1)="5",_xlfn.IFS(1*MID(LEFT(D314, LEN(D314)-1),6,2)&lt;4,"0.8",1*MID(LEFT(D314, LEN(D314)-1),6,2)&lt;7,"1.0",1*MID(LEFT(D314, LEN(D314)-1),6,2)&lt;10,"1.2",1*MID(LEFT(D314, LEN(D314)-1),6,2)&lt;13,"1.4"),_xlfn.IFS(1*MID(LEFT(D314, LEN(D314)-1),6,2)&lt;4,"1.0",1*MID(LEFT(D314, LEN(D314)-1),6,2)&lt;7,"1.2",1*MID(LEFT(D314, LEN(D314)-1),6,2)&lt;10,"1.4",1*MID(LEFT(D314, LEN(D314)-1),6,2)&lt;15,"1.8")))</f>
        <v>L=((自由長+緊張部長)÷@1.0m)×テープ係数1.0</v>
      </c>
      <c r="G347" s="211"/>
      <c r="H347" s="212"/>
      <c r="I347" s="213" t="s">
        <v>12</v>
      </c>
      <c r="J347" s="223">
        <f>IF(OR(D313=0,D314="　"),"",MROUND((SUM(D323,D324))/1*RIGHT(F347, 3),0.1))</f>
        <v>5.5</v>
      </c>
      <c r="K347" s="214">
        <f>IFERROR(D313*J347,"")</f>
        <v>55</v>
      </c>
    </row>
    <row r="348" spans="2:11" ht="12" customHeight="1">
      <c r="B348" s="206" t="s">
        <v>0</v>
      </c>
      <c r="C348" s="207" t="str">
        <f>IF(OR(D313=0,D314="　"),"","16/20、高密度ポリエチレン")</f>
        <v>16/20、高密度ポリエチレン</v>
      </c>
      <c r="D348" s="208"/>
      <c r="E348" s="209"/>
      <c r="F348" s="210" t="s">
        <v>33</v>
      </c>
      <c r="G348" s="211"/>
      <c r="H348" s="212"/>
      <c r="I348" s="213" t="s">
        <v>12</v>
      </c>
      <c r="J348" s="214">
        <f>IF(OR(D313=0,D314="　"),"",MROUND(D326,0.1))</f>
        <v>9.7000000000000011</v>
      </c>
      <c r="K348" s="214">
        <f>IFERROR(D313*J348,"")</f>
        <v>97.000000000000014</v>
      </c>
    </row>
    <row r="349" spans="2:11" ht="12" customHeight="1">
      <c r="B349" s="206" t="str" cm="1">
        <f t="array" ref="B349">_xlfn.IFS(OR(D313=0,D314="　",MID(D317,1,2)="なし",MID(D317,1,3)="受圧体"),"",MID(D317,1,3)="のり面","のり面角度台座",MID(D317,1,3)="構造物","構造物壁面台座",MID(D317,1,3)="土留め","土留め台座")</f>
        <v>のり面角度台座</v>
      </c>
      <c r="C349" s="210" t="str" cm="1">
        <f t="array" ref="C349">IF(OR(D313=0,D314="　",MID(D317,1,2)="なし",MID(D317,1,3)="受圧体"),"",_xlfn.IFS(MID(D317,1,3)="のり面",IF(1*MID(D314,4,1)=5,_xlfn.IFS(1*MID(LEFT(D314, LEN(D314)-1),6,2)&lt;5,"ST140",1*MID(LEFT(D314, LEN(D314)-1),6,2)&lt;8,"ST170",1*MID(LEFT(D314, LEN(D314)-1),6,2)&lt;13,"ST220"),_xlfn.IFS(1*MID(LEFT(D314, LEN(D314)-1),6,2)&lt;4,"ST140",1*MID(LEFT(D314, LEN(D314)-1),6,2)&lt;5,"ST170",1*MID(LEFT(D314, LEN(D314)-1),6,2)&lt;8,"ST220",1*MID(LEFT(D314, LEN(D314)-1),6,2)&lt;15,"非該当"))&amp;"、FCD450相当、防食："&amp;_xlfn.IFS(MID(D315,1,3)="防食Ⅱ","HDZT77めっき",MID(D315,5,2)="塩害","ｱﾙﾐﾅｲｽﾞ処理",MID(D315,5,2)="酸性","重防食処理"),OR(MID(D317,1,3)="構造物",MID(D317,1,3)="土留め"),D314&amp;"用"&amp;IF(OR(MID(D317,1,3)="構造物",D318="　"),"",D318)&amp;"、防食："&amp;_xlfn.IFS(MID(D315,1,3)="防食Ⅱ","HDZT77めっき",MID(D315,5,2)="塩害","ｱﾙﾐﾅｲｽﾞ処理",MID(D315,5,2)="酸性","重防食処理")))</f>
        <v>ST140、FCD450相当、防食：HDZT77めっき</v>
      </c>
      <c r="D349" s="208"/>
      <c r="E349" s="209"/>
      <c r="F349" s="217" t="str">
        <f>IF(OR(D317="なし",D317="受圧体のみ"),"","n=1")</f>
        <v>n=1</v>
      </c>
      <c r="G349" s="218"/>
      <c r="H349" s="219"/>
      <c r="I349" s="213" t="str">
        <f>IF(OR(D313=0,D314="　",B349=""),"","台")</f>
        <v>台</v>
      </c>
      <c r="J349" s="220" t="str">
        <f>IF(OR(D313=0,D314="　"),"",MID(F349,3,2))</f>
        <v>1</v>
      </c>
      <c r="K349" s="214">
        <f>IFERROR(D313*J349,"")</f>
        <v>10</v>
      </c>
    </row>
    <row r="350" spans="2:11" ht="12" customHeight="1">
      <c r="B350" s="206" t="str">
        <f>IF(OR(D313=0,D314="　",MID(D317,1,3)&lt;&gt;"のり面"),"","補剛板")</f>
        <v>補剛板</v>
      </c>
      <c r="C350" s="210" t="str" cm="1">
        <f t="array" ref="C350">IF(OR(D313=0,D314="　",MID(D317,1,3)&lt;&gt;"のり面"),"",IF(MID(D314,4,1)="5","□"&amp;_xlfn.SWITCH(1*MID(LEFT(D314, LEN(D314)-1),6,2),1,"210φ131t12",2,"210φ131t12",3,"240φ131t12",4,"270φ131t12",5,"280φ143t12",6,"310φ143t16",7,"350φ143t19",8,"350φ180t19",9,"350φ180t19",10,"350φ180t19",11,"350φ180t22",12,"350φ180t22"),"□"&amp;_xlfn.SWITCH(1*MID(LEFT(D314, LEN(D314)-1),6,2),1,"210,φ131,t12",2,"240,φ131,t12",3,"270,φ131,t16",4,"300,φ143,t16",5,"350,φ180,t16",6,"350,φ180,t16",7,"350,φ180,t19",8,"400,φ──,t12",9,"400,φ──,t12",10,"400,φ──,t12",11,"400,φ──,t12",12,"400,φ──,t12",13,"400,φ──,t12",14,"400,φ──,t12"))&amp;"、SS400相当、防食："&amp;_xlfn.IFS(MID(D315,1,3)="防食Ⅱ","HDZT77めっき",MID(D315,5,2)="塩害","ｱﾙﾐﾅｲｽﾞ処理",MID(D315,5,2)="酸性","重防食処理"))</f>
        <v>□270φ131t12、SS400相当、防食：HDZT77めっき</v>
      </c>
      <c r="D350" s="208"/>
      <c r="E350" s="209"/>
      <c r="F350" s="217" t="str">
        <f>IF(OR(D313=0,D314="　",MID(D317,1,3)&lt;&gt;"のり面"),"","n=1")</f>
        <v>n=1</v>
      </c>
      <c r="G350" s="218"/>
      <c r="H350" s="219"/>
      <c r="I350" s="213" t="str">
        <f>IF(OR(D313=0,D314="　",B350="",MID(D317,1,3)&lt;&gt;"のり面"),"","枚")</f>
        <v>枚</v>
      </c>
      <c r="J350" s="220" t="str">
        <f>IF(OR(D313=0,D314="　"),"",MID(F350,3,2))</f>
        <v>1</v>
      </c>
      <c r="K350" s="214">
        <f>IFERROR(D313*J350,"")</f>
        <v>10</v>
      </c>
    </row>
    <row r="351" spans="2:11" ht="12" customHeight="1">
      <c r="B351" s="206" t="str" cm="1">
        <f t="array" ref="B351">_xlfn.IFS(OR(D313=0,D314="　"),"",MID(D316,1,3)="アルミ","",MID(D316,1,3)&lt;&gt;"アルミ","テンドン補修用塗料")</f>
        <v>テンドン補修用塗料</v>
      </c>
      <c r="C351" s="210" t="str" cm="1">
        <f t="array" ref="C351">_xlfn.IFS(OR(D313=0,D314="　"),"",MID(D316,1,3)="アルミ","",MID(D316,1,3)&lt;&gt;"アルミ","エポキシ樹脂")</f>
        <v>エポキシ樹脂</v>
      </c>
      <c r="D351" s="208"/>
      <c r="E351" s="209"/>
      <c r="F351" s="217" t="str" cm="1">
        <f t="array" ref="F351">_xlfn.IFS(OR(D313=0,D314="　"),"",MID(D316,1,3)="アルミ","",MID(D316,1,3)&lt;&gt;"アルミ","W=PC鋼より線本数×"&amp;IF(MID(D314,4,1)="5","0.28","0.40"))</f>
        <v>W=PC鋼より線本数×0.28</v>
      </c>
      <c r="G351" s="218"/>
      <c r="H351" s="219"/>
      <c r="I351" s="213" t="str" cm="1">
        <f t="array" ref="I351">_xlfn.IFS(OR(D313=0,D314="　"),"",MID(D316,1,3)="アルミ","",MID(D316,1,3)&lt;&gt;"アルミ","g")</f>
        <v>g</v>
      </c>
      <c r="J351" s="224" cm="1">
        <f t="array" ref="J351">_xlfn.IFS(OR(D313=0,D314="　"),"",MID(D316,1,3)="アルミ","",MID(D316,1,3)&lt;&gt;"アルミ",MID(LEFT(D314, LEN(D314)-1),6,2)*IF(MID(D314,4,1)="5",0.28,0.4))</f>
        <v>1.1200000000000001</v>
      </c>
      <c r="K351" s="214">
        <f>IFERROR(D313*J351,"")</f>
        <v>11.200000000000001</v>
      </c>
    </row>
    <row r="352" spans="2:11" ht="12" customHeight="1">
      <c r="B352" s="206" t="str" cm="1">
        <f t="array" ref="B352">_xlfn.IFS(OR(D313=0,D314="　"),"",MID(D316,1,3)="アルミ","",MID(D316,1,3)&lt;&gt;"アルミ","長期防錆スプレー")</f>
        <v>長期防錆スプレー</v>
      </c>
      <c r="C352" s="210" t="str" cm="1">
        <f t="array" ref="C352">_xlfn.IFS(OR(D313=0,D314="　"),"",MID(D316,1,3)="アルミ","",MID(D316,1,3)&lt;&gt;"アルミ","防錆オイル")</f>
        <v>防錆オイル</v>
      </c>
      <c r="D352" s="208"/>
      <c r="E352" s="209"/>
      <c r="F352" s="217" t="str" cm="1">
        <f t="array" ref="F352">_xlfn.IFS(OR(D313=0,D314="　"),"",MID(D316,1,3)="アルミ","",MID(D316,1,3)&lt;&gt;"アルミ","n=0.01×(PC鋼より線本数+"&amp;IF(MID(D314,4,1)="5","6","12")&amp;")")</f>
        <v>n=0.01×(PC鋼より線本数+6)</v>
      </c>
      <c r="G352" s="218"/>
      <c r="H352" s="219"/>
      <c r="I352" s="213" t="str" cm="1">
        <f t="array" ref="I352">_xlfn.IFS(OR(D313=0,D314="　"),"",MID(D316,1,3)="アルミ","",MID(D316,1,3)&lt;&gt;"アルミ","缶")</f>
        <v>缶</v>
      </c>
      <c r="J352" s="224" cm="1">
        <f t="array" ref="J352">_xlfn.IFS(OR(D313=0,D314="　"),"",MID(D316,1,3)="アルミ","",MID(D316,1,3)&lt;&gt;"アルミ",0.01*(MID(LEFT(D314, LEN(D314)-1),6,2)+IF(MID(D314,4,1)="5",6,12)))</f>
        <v>0.1</v>
      </c>
      <c r="K352" s="214">
        <f>IFERROR(D313*J352,"")</f>
        <v>1</v>
      </c>
    </row>
    <row r="353" spans="2:13" ht="12" customHeight="1">
      <c r="B353" s="206" t="str">
        <f>IF(OR(D313=0,D314="　",D319="なし"),"","フリーパッカー注入ホース")</f>
        <v/>
      </c>
      <c r="C353" s="207" t="str">
        <f>IF(OR(D313=0,D314="　",B353=""),"","16/20、高密度ポリエチレン")</f>
        <v/>
      </c>
      <c r="D353" s="208"/>
      <c r="E353" s="209"/>
      <c r="F353" s="210" t="str">
        <f>IF(B353="","","L=自由長+緊張部長")</f>
        <v/>
      </c>
      <c r="G353" s="211"/>
      <c r="H353" s="212"/>
      <c r="I353" s="213" t="str">
        <f>IF(OR(D313=0,D314="　",B353=""),"","m")</f>
        <v/>
      </c>
      <c r="J353" s="214" t="str">
        <f>IF(OR(D313=0,D314="　"),"",IF(B353="","",MROUND(D323+D324,0.1)))</f>
        <v/>
      </c>
      <c r="K353" s="214" t="str">
        <f>IFERROR(D313*J353,"")</f>
        <v/>
      </c>
    </row>
    <row r="354" spans="2:13" ht="12" customHeight="1">
      <c r="B354" s="225" t="str">
        <f>IF(OR(D313=0,D314="　",D319="なし"),"","フリーパッカー")</f>
        <v/>
      </c>
      <c r="C354" s="217" t="str" cm="1">
        <f t="array" ref="C354">IF(OR(D313=0,D314="　",B353=""),"",_xlfn.SWITCH(D328,90,"PA-170",115,"PA-200",135,"PA-240",146,"PA-240",165,"PA-350")&amp;"、織布")</f>
        <v/>
      </c>
      <c r="D354" s="208"/>
      <c r="E354" s="209"/>
      <c r="F354" s="226" t="str">
        <f>IF(B354="","","L=自由長+0.5m")</f>
        <v/>
      </c>
      <c r="G354" s="227"/>
      <c r="H354" s="228"/>
      <c r="I354" s="213" t="str">
        <f>IF(OR(D314=0,D315="　",B354=""),"","m")</f>
        <v/>
      </c>
      <c r="J354" s="214" t="str">
        <f>IF(OR(D313=0,D314="　"),"",IF(B354="","",MROUND(D323+0.5,0.1)))</f>
        <v/>
      </c>
      <c r="K354" s="214" t="str">
        <f>IFERROR(D313*J354,"")</f>
        <v/>
      </c>
    </row>
    <row r="355" spans="2:13" ht="12" customHeight="1">
      <c r="B355" s="206" t="str">
        <f>IF(OR(D313=0,D314="　",D319="なし"),"","パッカー取付加工")</f>
        <v/>
      </c>
      <c r="C355" s="207"/>
      <c r="D355" s="208"/>
      <c r="E355" s="209"/>
      <c r="F355" s="217" t="str">
        <f>IF(B355="","","n=1")</f>
        <v/>
      </c>
      <c r="G355" s="218"/>
      <c r="H355" s="219"/>
      <c r="I355" s="213" t="str">
        <f>IF(OR(D315=0,D316="　",B355=""),"","式")</f>
        <v/>
      </c>
      <c r="J355" s="220" t="str">
        <f>IF(OR(D313=0,D314="　"),"",MID(F355,3,2))</f>
        <v/>
      </c>
      <c r="K355" s="206" t="str">
        <f>IFERROR(D313*J355,"")</f>
        <v/>
      </c>
    </row>
    <row r="356" spans="2:13" ht="12" customHeight="1">
      <c r="B356" s="229"/>
      <c r="C356" s="230"/>
      <c r="D356" s="231"/>
      <c r="E356" s="232"/>
      <c r="F356" s="233"/>
      <c r="G356" s="234"/>
      <c r="H356" s="235"/>
      <c r="I356" s="236"/>
      <c r="J356" s="237"/>
      <c r="K356" s="229"/>
    </row>
    <row r="357" spans="2:13" ht="12" customHeight="1">
      <c r="B357" s="238" t="s">
        <v>30</v>
      </c>
      <c r="C357" s="239" t="s">
        <v>31</v>
      </c>
      <c r="D357" s="240"/>
      <c r="E357" s="241"/>
      <c r="F357" s="242" t="s">
        <v>157</v>
      </c>
      <c r="G357" s="243"/>
      <c r="H357" s="244"/>
      <c r="I357" s="245" t="s">
        <v>55</v>
      </c>
      <c r="J357" s="246">
        <f>IFERROR(MROUND(0.25*PI()*(0.001*D328)^2*(D321+D322+D327)*(1+2.2),0.01),"")</f>
        <v>0.17</v>
      </c>
      <c r="K357" s="246">
        <f>IFERROR(D313*J357,"")</f>
        <v>1.7000000000000002</v>
      </c>
    </row>
    <row r="359" spans="2:13" ht="12" customHeight="1">
      <c r="B359" s="247" t="s">
        <v>136</v>
      </c>
      <c r="C359" s="247"/>
      <c r="D359" s="247"/>
      <c r="F359" s="163"/>
      <c r="G359" s="164"/>
      <c r="H359" s="164"/>
    </row>
    <row r="360" spans="2:13" ht="12" customHeight="1">
      <c r="B360" s="15" t="s">
        <v>111</v>
      </c>
      <c r="C360" s="15"/>
      <c r="D360" s="1"/>
      <c r="E360" s="1"/>
      <c r="H360" s="119"/>
      <c r="J360" s="118"/>
    </row>
    <row r="361" spans="2:13" ht="12" customHeight="1">
      <c r="B361" s="165" t="s">
        <v>166</v>
      </c>
      <c r="C361" s="3"/>
      <c r="D361" s="1"/>
      <c r="E361" s="1"/>
      <c r="F361" s="8"/>
      <c r="G361" s="8"/>
      <c r="H361" s="102"/>
      <c r="I361" s="28"/>
      <c r="J361" s="118"/>
    </row>
    <row r="362" spans="2:13" ht="12" customHeight="1">
      <c r="B362" s="15" t="s">
        <v>40</v>
      </c>
      <c r="C362" s="3"/>
      <c r="D362" s="1"/>
      <c r="E362" s="1"/>
      <c r="F362" s="15" t="s">
        <v>54</v>
      </c>
      <c r="G362" s="15"/>
      <c r="H362" s="102"/>
      <c r="I362" s="28"/>
    </row>
    <row r="363" spans="2:13" ht="12" customHeight="1">
      <c r="B363" s="2" t="s">
        <v>53</v>
      </c>
      <c r="C363" s="2" t="s">
        <v>21</v>
      </c>
      <c r="D363" s="2" t="s">
        <v>22</v>
      </c>
      <c r="E363" s="17"/>
      <c r="F363" s="49" t="s">
        <v>41</v>
      </c>
      <c r="G363" s="97" t="s">
        <v>59</v>
      </c>
      <c r="H363" s="49" t="s">
        <v>44</v>
      </c>
      <c r="I363" s="2" t="s">
        <v>21</v>
      </c>
      <c r="J363" s="49" t="s">
        <v>138</v>
      </c>
      <c r="K363" s="2" t="s">
        <v>28</v>
      </c>
    </row>
    <row r="364" spans="2:13" ht="12" customHeight="1">
      <c r="B364" s="166" t="s">
        <v>25</v>
      </c>
      <c r="C364" s="18" t="s">
        <v>24</v>
      </c>
      <c r="D364" s="167">
        <v>10</v>
      </c>
      <c r="E364" s="19"/>
      <c r="F364" s="168" t="s">
        <v>43</v>
      </c>
      <c r="G364" s="169" t="s">
        <v>113</v>
      </c>
      <c r="H364" s="88" t="str" cm="1">
        <f t="array" ref="H364">_xlfn.IFS(AND(F364&lt;&gt;"非削孔",F364&lt;&gt;"無設定"),D379,F364="非削孔",IF(MID(D368,1,3)="土留め","非削孔","箱抜き"),F364="無設定","無設定")</f>
        <v>箱抜き</v>
      </c>
      <c r="I364" s="23" t="str">
        <f>IF(F364="無設定","","m")</f>
        <v>m</v>
      </c>
      <c r="J364" s="170">
        <v>0.5</v>
      </c>
      <c r="K364" s="30">
        <f>D364*J364</f>
        <v>5</v>
      </c>
    </row>
    <row r="365" spans="2:13" ht="12" customHeight="1">
      <c r="B365" s="171" t="s">
        <v>37</v>
      </c>
      <c r="C365" s="50" t="s">
        <v>38</v>
      </c>
      <c r="D365" s="172" t="s">
        <v>159</v>
      </c>
      <c r="E365" s="173"/>
      <c r="F365" s="174" t="s">
        <v>49</v>
      </c>
      <c r="G365" s="169" t="s">
        <v>114</v>
      </c>
      <c r="H365" s="88" cm="1">
        <f t="array" ref="H365">_xlfn.IFS(AND(F365&lt;&gt;"非削孔",F365&lt;&gt;"無設定"),D379,F365="非削孔","箱抜き",F365="無設定","無設定")</f>
        <v>90</v>
      </c>
      <c r="I365" s="23" t="str">
        <f t="shared" ref="I365:I373" si="14">IF(F365="無設定","","m")</f>
        <v>m</v>
      </c>
      <c r="J365" s="170">
        <v>2.64</v>
      </c>
      <c r="K365" s="30">
        <f>D364*J365</f>
        <v>26.400000000000002</v>
      </c>
    </row>
    <row r="366" spans="2:13" ht="12" customHeight="1">
      <c r="B366" s="52" t="s">
        <v>39</v>
      </c>
      <c r="C366" s="91" t="s">
        <v>38</v>
      </c>
      <c r="D366" s="175" t="s">
        <v>60</v>
      </c>
      <c r="E366" s="140"/>
      <c r="F366" s="174" t="s">
        <v>49</v>
      </c>
      <c r="G366" s="169" t="s">
        <v>115</v>
      </c>
      <c r="H366" s="88" cm="1">
        <f t="array" ref="H366">_xlfn.IFS(AND(F366&lt;&gt;"非削孔",F366&lt;&gt;"無設定"),D379,F366="非削孔","箱抜き",F366="無設定","無設定")</f>
        <v>90</v>
      </c>
      <c r="I366" s="23" t="str">
        <f t="shared" si="14"/>
        <v>m</v>
      </c>
      <c r="J366" s="170">
        <v>5.36</v>
      </c>
      <c r="K366" s="30">
        <f>D364*J366</f>
        <v>53.6</v>
      </c>
    </row>
    <row r="367" spans="2:13" ht="12" customHeight="1">
      <c r="B367" s="147" t="s">
        <v>140</v>
      </c>
      <c r="C367" s="91" t="s">
        <v>38</v>
      </c>
      <c r="D367" s="176" t="s">
        <v>141</v>
      </c>
      <c r="E367" s="141"/>
      <c r="F367" s="174" t="s">
        <v>48</v>
      </c>
      <c r="G367" s="169"/>
      <c r="H367" s="88" t="str" cm="1">
        <f t="array" ref="H367">_xlfn.IFS(AND(F367&lt;&gt;"非削孔",F367&lt;&gt;"無設定"),D379,F367="非削孔","箱抜き",F367="無設定","無設定")</f>
        <v>無設定</v>
      </c>
      <c r="I367" s="23" t="str">
        <f t="shared" si="14"/>
        <v/>
      </c>
      <c r="J367" s="170">
        <v>0</v>
      </c>
      <c r="K367" s="30">
        <f>D364*J367</f>
        <v>0</v>
      </c>
      <c r="M367" s="112"/>
    </row>
    <row r="368" spans="2:13" ht="12" customHeight="1">
      <c r="B368" s="147" t="s">
        <v>142</v>
      </c>
      <c r="C368" s="91" t="s">
        <v>38</v>
      </c>
      <c r="D368" s="177" t="s">
        <v>160</v>
      </c>
      <c r="E368" s="21"/>
      <c r="F368" s="174" t="s">
        <v>48</v>
      </c>
      <c r="G368" s="169"/>
      <c r="H368" s="88" t="str" cm="1">
        <f t="array" ref="H368">_xlfn.IFS(AND(F368&lt;&gt;"非削孔",F368&lt;&gt;"無設定"),D379,F368="非削孔","箱抜き",F368="無設定","無設定")</f>
        <v>無設定</v>
      </c>
      <c r="I368" s="23" t="str">
        <f t="shared" si="14"/>
        <v/>
      </c>
      <c r="J368" s="170">
        <v>0</v>
      </c>
      <c r="K368" s="30">
        <f>D364*J368</f>
        <v>0</v>
      </c>
    </row>
    <row r="369" spans="2:13" ht="12" customHeight="1">
      <c r="B369" s="114" t="str">
        <f>IF(MID(D368,1,3)="土留め",D368&amp;"の種類","")</f>
        <v/>
      </c>
      <c r="C369" s="91" t="s">
        <v>38</v>
      </c>
      <c r="D369" s="178" t="s">
        <v>71</v>
      </c>
      <c r="E369" s="21"/>
      <c r="F369" s="174" t="s">
        <v>48</v>
      </c>
      <c r="G369" s="169"/>
      <c r="H369" s="88" t="str" cm="1">
        <f t="array" ref="H369">_xlfn.IFS(AND(F369&lt;&gt;"非削孔",F369&lt;&gt;"無設定"),D379,F369="非削孔","箱抜き",F369="無設定","無設定")</f>
        <v>無設定</v>
      </c>
      <c r="I369" s="23" t="str">
        <f t="shared" si="14"/>
        <v/>
      </c>
      <c r="J369" s="170">
        <v>0</v>
      </c>
      <c r="K369" s="30">
        <f>D364*J369</f>
        <v>0</v>
      </c>
    </row>
    <row r="370" spans="2:13" ht="12" customHeight="1">
      <c r="B370" s="179" t="s">
        <v>50</v>
      </c>
      <c r="C370" s="180" t="s">
        <v>38</v>
      </c>
      <c r="D370" s="181" t="s">
        <v>51</v>
      </c>
      <c r="E370" s="182"/>
      <c r="F370" s="174" t="s">
        <v>48</v>
      </c>
      <c r="G370" s="169"/>
      <c r="H370" s="88" t="str" cm="1">
        <f t="array" ref="H370">_xlfn.IFS(AND(F370&lt;&gt;"非削孔",F370&lt;&gt;"無設定"),D379,F370="非削孔","箱抜き",F370="無設定","無設定")</f>
        <v>無設定</v>
      </c>
      <c r="I370" s="23" t="str">
        <f t="shared" si="14"/>
        <v/>
      </c>
      <c r="J370" s="170">
        <v>0</v>
      </c>
      <c r="K370" s="30">
        <f>D364*J370</f>
        <v>0</v>
      </c>
    </row>
    <row r="371" spans="2:13" ht="12" customHeight="1">
      <c r="B371" s="160" t="str" cm="1">
        <f t="array" ref="B371">"頭部自由長"&amp;_xlfn.IFS(MID(D368,1,2)="なし","",MID(D368,1,3)="受圧体","(受圧体)",MID(D368,1,3)="のり面","(角度台座＋受圧体)",MID(D368,1,3)="構造物","(壁面台座)",MID(D368,1,3)="土留め","(台座+腹起し)")&amp;"　Lfh"</f>
        <v>頭部自由長(角度台座＋受圧体)　Lfh</v>
      </c>
      <c r="C371" s="155" t="s">
        <v>23</v>
      </c>
      <c r="D371" s="183">
        <v>0.5</v>
      </c>
      <c r="E371" s="21"/>
      <c r="F371" s="174" t="s">
        <v>144</v>
      </c>
      <c r="G371" s="169"/>
      <c r="H371" s="88" cm="1">
        <f t="array" ref="H371">_xlfn.IFS(AND(F371&lt;&gt;"非削孔",F371&lt;&gt;"無設定"),D379,F371="非削孔","箱抜き",F371="無設定","無設定")</f>
        <v>90</v>
      </c>
      <c r="I371" s="23" t="str">
        <f t="shared" si="14"/>
        <v>m</v>
      </c>
      <c r="J371" s="170">
        <v>0</v>
      </c>
      <c r="K371" s="30">
        <f>D364*J371</f>
        <v>0</v>
      </c>
    </row>
    <row r="372" spans="2:13" ht="12" customHeight="1">
      <c r="B372" s="22" t="s">
        <v>108</v>
      </c>
      <c r="C372" s="23" t="s">
        <v>23</v>
      </c>
      <c r="D372" s="184">
        <v>4</v>
      </c>
      <c r="E372" s="21"/>
      <c r="F372" s="174" t="s">
        <v>48</v>
      </c>
      <c r="G372" s="169"/>
      <c r="H372" s="88" t="str" cm="1">
        <f t="array" ref="H372">_xlfn.IFS(AND(F372&lt;&gt;"非削孔",F372&lt;&gt;"無設定"),D379,F372="非削孔","箱抜き",F372="無設定","無設定")</f>
        <v>無設定</v>
      </c>
      <c r="I372" s="23" t="str">
        <f t="shared" si="14"/>
        <v/>
      </c>
      <c r="J372" s="170">
        <v>0</v>
      </c>
      <c r="K372" s="30">
        <f>D364*J372</f>
        <v>0</v>
      </c>
    </row>
    <row r="373" spans="2:13" ht="12" customHeight="1">
      <c r="B373" s="157" t="s">
        <v>36</v>
      </c>
      <c r="C373" s="158" t="s">
        <v>23</v>
      </c>
      <c r="D373" s="185">
        <v>4</v>
      </c>
      <c r="F373" s="186" t="str" cm="1">
        <f t="array" ref="F373">INDEX(F364:H372,MATCH("無設定",F364:F372,0)-1,MATCH(F363,F363:H363,0))</f>
        <v>軟　岩</v>
      </c>
      <c r="G373" s="100" t="str" cm="1">
        <f t="array" ref="G373">INDEX(F364:H372,MATCH("無設定",F364:F372,0)-1,MATCH(G363,F363:H363,0))&amp;"　(先端長 L2d)"</f>
        <v>風化岩 CL　(先端長 L2d)</v>
      </c>
      <c r="H373" s="88" cm="1">
        <f t="array" ref="H373">INDEX(F364:H372,MATCH("無設定",F364:F372,0)-1,MATCH(H363,F363:H363,0))</f>
        <v>90</v>
      </c>
      <c r="I373" s="23" t="str">
        <f t="shared" si="14"/>
        <v>m</v>
      </c>
      <c r="J373" s="98">
        <f>D378</f>
        <v>0.25</v>
      </c>
      <c r="K373" s="78">
        <f>IFERROR(D364*J373,"")</f>
        <v>2.5</v>
      </c>
    </row>
    <row r="374" spans="2:13" ht="12" customHeight="1">
      <c r="B374" s="154" t="s">
        <v>145</v>
      </c>
      <c r="C374" s="155" t="s">
        <v>23</v>
      </c>
      <c r="D374" s="187">
        <f>IF(OR(D364=0,D365="　"),"──",SUM(D371:D372))</f>
        <v>4.5</v>
      </c>
      <c r="E374" s="19"/>
      <c r="F374" s="188"/>
      <c r="G374" s="75" t="s">
        <v>124</v>
      </c>
      <c r="H374" s="103"/>
      <c r="I374" s="18" t="s">
        <v>23</v>
      </c>
      <c r="J374" s="74">
        <f>SUMIFS(J364:J373,F364:F373,"&lt;&gt;非削孔",F364:F373,"&lt;&gt;無設定")</f>
        <v>8.25</v>
      </c>
      <c r="K374" s="95">
        <f>SUMIFS(K364:K373,F364:F373,"&lt;&gt;非削孔",F364:F373,"&lt;&gt;無設定")</f>
        <v>82.5</v>
      </c>
    </row>
    <row r="375" spans="2:13" ht="12" customHeight="1">
      <c r="B375" s="146" t="s">
        <v>146</v>
      </c>
      <c r="C375" s="23" t="s">
        <v>23</v>
      </c>
      <c r="D375" s="189" cm="1">
        <f t="array" ref="D375">IF(OR(D364=0,D365="　"),"──",IF(MID(D365,4,1)="5",_xlfn.IFS(1*MID(LEFT(D365, LEN(D365)-1),6,2)&lt;8,1,1*MID(LEFT(D365, LEN(D365)-1),6,2)&lt;13,1.2),_xlfn.IFS(1*MID(LEFT(D365, LEN(D365)-1),6,2)&lt;6,1,1*MID(LEFT(D365, LEN(D365)-1),6,2)&lt;15,1.2)))</f>
        <v>1</v>
      </c>
      <c r="E375" s="19"/>
      <c r="F375" s="190"/>
      <c r="G375" s="76" t="s">
        <v>47</v>
      </c>
      <c r="H375" s="104"/>
      <c r="I375" s="79" t="s">
        <v>46</v>
      </c>
      <c r="J375" s="77" t="str">
        <f>IF(OR(D364=0,D365="　"),"",IF(SUM(D372:D373,D378)=J374,"OK","NG"))</f>
        <v>OK</v>
      </c>
      <c r="K375" s="145" t="str">
        <f>IF(J375&lt;&gt;"NG","──",J374-SUM(D372:D373,D378))</f>
        <v>──</v>
      </c>
      <c r="M375" s="144"/>
    </row>
    <row r="376" spans="2:13" ht="12" customHeight="1">
      <c r="B376" s="22" t="s">
        <v>125</v>
      </c>
      <c r="C376" s="23" t="s">
        <v>35</v>
      </c>
      <c r="D376" s="84">
        <f>IF(OR(D364=0,D365="　"),"──",0.2)</f>
        <v>0.2</v>
      </c>
      <c r="F376" s="191" t="s">
        <v>58</v>
      </c>
      <c r="G376" s="248" t="s">
        <v>110</v>
      </c>
      <c r="H376" s="249"/>
      <c r="I376" s="249"/>
      <c r="J376" s="249"/>
      <c r="K376" s="250"/>
    </row>
    <row r="377" spans="2:13" ht="12" customHeight="1">
      <c r="B377" s="6" t="s">
        <v>147</v>
      </c>
      <c r="C377" s="23" t="s">
        <v>23</v>
      </c>
      <c r="D377" s="60">
        <f>IF(OR(D364=0,D365="　"),"──",SUM(D373:D376))</f>
        <v>9.6999999999999993</v>
      </c>
    </row>
    <row r="378" spans="2:13" ht="12" customHeight="1">
      <c r="B378" s="25" t="s">
        <v>127</v>
      </c>
      <c r="C378" s="26" t="s">
        <v>23</v>
      </c>
      <c r="D378" s="27">
        <f>IF(OR(D364=0,D365="　"),"──",0.25)</f>
        <v>0.25</v>
      </c>
      <c r="F378" s="8"/>
      <c r="G378" s="8"/>
      <c r="H378" s="102"/>
    </row>
    <row r="379" spans="2:13" ht="12" customHeight="1">
      <c r="B379" s="95" t="s">
        <v>123</v>
      </c>
      <c r="C379" s="18" t="s">
        <v>32</v>
      </c>
      <c r="D379" s="192">
        <v>90</v>
      </c>
      <c r="E379" s="193" t="str">
        <f>IF(D379&lt;D380,"NG：削孔径不適合","")</f>
        <v/>
      </c>
      <c r="F379" s="8"/>
      <c r="G379" s="8"/>
      <c r="H379" s="102"/>
    </row>
    <row r="380" spans="2:13" ht="12" customHeight="1">
      <c r="B380" s="25" t="s">
        <v>122</v>
      </c>
      <c r="C380" s="26" t="s">
        <v>32</v>
      </c>
      <c r="D380" s="194" cm="1">
        <f t="array" ref="D380">IF(OR(D364=0,D365="　"),"──",IF(D370="なし",IF(MID(D365,4,1)="5",_xlfn.IFS(1*MID(LEFT(D365, LEN(D365)-1),6,2)&lt;6,90,1*MID(LEFT(D365, LEN(D365)-1),6,2)&lt;9,115,1*MID(LEFT(D365, LEN(D365)-1),6,2)&gt;8,135),_xlfn.IFS(1*MID(LEFT(D365, LEN(D365)-1),6,2)&lt;4,90,1*MID(LEFT(D365, LEN(D365)-1),6,2)&lt;7,115,1*MID(LEFT(D365, LEN(D365)-1),6,2)&lt;10,135,1*MID(LEFT(D365, LEN(D365)-1),6,2)&lt;13,146,1*MID(LEFT(D365, LEN(D365)-1),6,2)&gt;12,165)),IF(MID(D365,4,1)="5",_xlfn.IFS(1*MID(LEFT(D365, LEN(D365)-1),6,2)&lt;3,90,1*MID(LEFT(D365, LEN(D365)-1),6,2)&lt;7,115,1*MID(LEFT(D365, LEN(D365)-1),6,2)&lt;9,135,1*MID(LEFT(D365, LEN(D365)-1),6,2)&gt;8,146),_xlfn.IFS(1*MID(LEFT(D365, LEN(D365)-1),6,2)&lt;3,90,1*MID(LEFT(D365, LEN(D365)-1),6,2)&lt;4,115,1*MID(LEFT(D365, LEN(D365)-1),6,2)&lt;6,135,1*MID(LEFT(D365, LEN(D365)-1),6,2)&lt;10,146,1*MID(LEFT(D365, LEN(D365)-1),6,2)&lt;13,165,1*MID(LEFT(D365, LEN(D365)-1),6,2)&gt;12,216))))</f>
        <v>90</v>
      </c>
      <c r="E380" s="195"/>
      <c r="F380" s="8"/>
      <c r="G380" s="8"/>
      <c r="H380" s="102"/>
    </row>
    <row r="381" spans="2:13" ht="12" customHeight="1">
      <c r="B381" s="20"/>
      <c r="C381" s="46"/>
      <c r="D381" s="117"/>
      <c r="F381" s="8"/>
      <c r="G381" s="8"/>
      <c r="H381" s="102"/>
    </row>
    <row r="382" spans="2:13" ht="12" customHeight="1">
      <c r="B382" s="15" t="str">
        <f>"■"&amp;MID(B359,2,14)</f>
        <v>■本設：EHDアンカーHP工法</v>
      </c>
      <c r="C382" s="3"/>
      <c r="D382" s="1"/>
      <c r="E382" s="1"/>
      <c r="F382" s="8"/>
      <c r="G382" s="8"/>
      <c r="H382" s="102"/>
    </row>
    <row r="383" spans="2:13" ht="12" customHeight="1">
      <c r="B383" s="2" t="s">
        <v>17</v>
      </c>
      <c r="C383" s="43"/>
      <c r="D383" s="196" t="s">
        <v>148</v>
      </c>
      <c r="E383" s="135"/>
      <c r="F383" s="16"/>
      <c r="G383" s="61" t="s">
        <v>42</v>
      </c>
      <c r="H383" s="97"/>
      <c r="I383" s="2" t="s">
        <v>21</v>
      </c>
      <c r="J383" s="49" t="s">
        <v>149</v>
      </c>
      <c r="K383" s="2" t="s">
        <v>28</v>
      </c>
    </row>
    <row r="384" spans="2:13" ht="12" customHeight="1">
      <c r="B384" s="197" t="s">
        <v>150</v>
      </c>
      <c r="C384" s="198" t="str">
        <f>IF(OR(D364=0,D365="　"),"",D365&amp;" ("&amp;MID(LEFT(D365, LEN(D365)-1),6,2)&amp;IF(MID(D365,4,1)="5","φ12.7","φ15.2")&amp;")")</f>
        <v>EHD5-4H (4φ12.7)</v>
      </c>
      <c r="D384" s="199"/>
      <c r="E384" s="200"/>
      <c r="F384" s="201" t="str">
        <f>"W=テンドン長×PC鋼より線本数×"&amp;IF(MID(D365,4,1)="5","0.774","1.101")&amp;"kg/m"</f>
        <v>W=テンドン長×PC鋼より線本数×0.774kg/m</v>
      </c>
      <c r="G384" s="202"/>
      <c r="H384" s="203"/>
      <c r="I384" s="204" t="s">
        <v>11</v>
      </c>
      <c r="J384" s="205">
        <f>IF(OR(D364=0,D365="　"),"",MROUND(D377*MID(LEFT(D365, LEN(D365)-1),6,2)*IF(MID(D365,4,1)="5","0.774","1.101"),0.01))</f>
        <v>30.03</v>
      </c>
      <c r="K384" s="205">
        <f>IFERROR(D364*J384,"")</f>
        <v>300.3</v>
      </c>
      <c r="L384" s="13"/>
    </row>
    <row r="385" spans="2:11" ht="12" customHeight="1">
      <c r="B385" s="206" t="s">
        <v>151</v>
      </c>
      <c r="C385" s="207"/>
      <c r="D385" s="208"/>
      <c r="E385" s="209"/>
      <c r="F385" s="210" t="s">
        <v>33</v>
      </c>
      <c r="G385" s="211"/>
      <c r="H385" s="212"/>
      <c r="I385" s="213" t="s">
        <v>12</v>
      </c>
      <c r="J385" s="214">
        <f>IF(OR(D364=0,D365="　"),"",MROUND(D377,0.1))</f>
        <v>9.7000000000000011</v>
      </c>
      <c r="K385" s="214">
        <f>IFERROR(D364*J385,"")</f>
        <v>97.000000000000014</v>
      </c>
    </row>
    <row r="386" spans="2:11" ht="12" customHeight="1">
      <c r="B386" s="206" t="str">
        <f>"頭部キャップ"</f>
        <v>頭部キャップ</v>
      </c>
      <c r="C386" s="207" t="str" cm="1">
        <f t="array" ref="C386">IF(OR(D364=0,D365="　"),"",IF(MID(D365,4,1)="5",_xlfn.SWITCH(1*MID(LEFT(D365, LEN(D365)-1),6,2),1,"S",2,"S",3,"S",4,"S",5,"M",6,"M",7,"M",8,"L",9,"L",10,"L",11,"L",12,"L"),_xlfn.SWITCH(1*MID(LEFT(D365, LEN(D365)-1),6,2),1,"S",2,"S",3,"M",4,"M",5,"L",6,"L",7,"L",8,"LL",9,"LL",10,"LL",11,"LL",12,"LL",13,"LL",14,"LL"))&amp;"型"&amp;D367&amp;IF(OR(MID(D367,1,2)="透明",MID(D367,1,2)="5窓"),"、PC樹脂","")&amp;"、ｱﾙﾐAC4C相当"&amp;_xlfn.IFS(MID(D366,1,3)="防食Ⅱ","",MID(D366,5,2)="塩害","、防食：ﾀｹｺｰﾄ処理",MID(D366,5,2)="酸性","、防食：重防食処理"))</f>
        <v>S型透明キャップ、PC樹脂、ｱﾙﾐAC4C相当</v>
      </c>
      <c r="D386" s="215"/>
      <c r="E386" s="216"/>
      <c r="F386" s="217" t="str">
        <f t="shared" ref="F386:F392" si="15">"n=1"</f>
        <v>n=1</v>
      </c>
      <c r="G386" s="218"/>
      <c r="H386" s="219"/>
      <c r="I386" s="213" t="s">
        <v>13</v>
      </c>
      <c r="J386" s="220" t="str">
        <f>IF(OR(D364=0,D365="　"),"",MID(F386,3,2))</f>
        <v>1</v>
      </c>
      <c r="K386" s="214">
        <f>IFERROR(D364*J386,"")</f>
        <v>10</v>
      </c>
    </row>
    <row r="387" spans="2:11" ht="12" customHeight="1">
      <c r="B387" s="206" t="s">
        <v>5</v>
      </c>
      <c r="C387" s="207" t="str" cm="1">
        <f t="array" ref="C387">IF(OR(D364=0,D365="　"),"",IF(MID(D365,4,1)="5","G5"&amp;_xlfn.SWITCH(1*MID(LEFT(D365, LEN(D365)-1),6,2),1,"01",2,"02",3,"03",4,"04",5,"07",6,"07",7,"07",8,"09",9,"09",10,"12",11,"12",12,"12"),"G6"&amp;_xlfn.SWITCH(1*MID(LEFT(D365, LEN(D365)-1),6,2),1,"01",2,"02",3,"03",4,"04",5,"07",6,"07",7,"07",8,"09",9,"09",10,"12",11,"12",12,"12",13,"14",14,"14"))&amp;"、S45C相当"&amp;IF(MID(D367,1,3)&lt;&gt;"アルミ","、防食：無電解Niめっき",""))</f>
        <v>G504、S45C相当、防食：無電解Niめっき</v>
      </c>
      <c r="D387" s="208"/>
      <c r="E387" s="209"/>
      <c r="F387" s="217" t="str">
        <f t="shared" si="15"/>
        <v>n=1</v>
      </c>
      <c r="G387" s="218"/>
      <c r="H387" s="219"/>
      <c r="I387" s="213" t="s">
        <v>13</v>
      </c>
      <c r="J387" s="220" t="str">
        <f>IF(OR(D364=0,D365="　"),"",MID(F387,3,2))</f>
        <v>1</v>
      </c>
      <c r="K387" s="214">
        <f>IFERROR(D364*J387,"")</f>
        <v>10</v>
      </c>
    </row>
    <row r="388" spans="2:11" ht="12" customHeight="1">
      <c r="B388" s="206" t="s">
        <v>152</v>
      </c>
      <c r="C388" s="207" t="str" cm="1">
        <f t="array" ref="C388">IF(OR(D364=0,D365="　"),"",IF(MID(D365,4,1)="5","G5"&amp;_xlfn.SWITCH(1*MID(LEFT(D365, LEN(D365)-1),6,2),1,"01",2,"02",3,"03",4,"04",5,"07",6,"07",7,"07",8,"09",9,"09",10,"12",11,"12",12,"12"),"G6"&amp;_xlfn.SWITCH(1*MID(LEFT(D365, LEN(D365)-1),6,2),1,"01",2,"02",3,"03",4,"04",5,"07",6,"07",7,"07",8,"09",9,"09",10,"12",11,"12",12,"12",13,"14",14,"14"))&amp;"、S45C相当"&amp;IF(MID(D367,1,3)&lt;&gt;"アルミ","、防食：無電解Niめっき",""))</f>
        <v>G504、S45C相当、防食：無電解Niめっき</v>
      </c>
      <c r="D388" s="208"/>
      <c r="E388" s="209"/>
      <c r="F388" s="217" t="str">
        <f t="shared" si="15"/>
        <v>n=1</v>
      </c>
      <c r="G388" s="218"/>
      <c r="H388" s="219"/>
      <c r="I388" s="213" t="s">
        <v>13</v>
      </c>
      <c r="J388" s="220" t="str">
        <f>IF(OR(D364=0,D365="　"),"",MID(F388,3,2))</f>
        <v>1</v>
      </c>
      <c r="K388" s="214">
        <f>IFERROR(D364*J388,"")</f>
        <v>10</v>
      </c>
    </row>
    <row r="389" spans="2:11" ht="12" customHeight="1">
      <c r="B389" s="206" t="s">
        <v>7</v>
      </c>
      <c r="C389" s="207" t="str">
        <f>IF(OR(D364=0,D365="　"),"",IF(1*MID(D365,4,1)=5,"ECF12.7","ECF15.2")&amp;"、SCM415相当"&amp;IF(MID(D367,1,3)&lt;&gt;"アルミ","、防食：無電解Niめっき",""))</f>
        <v>ECF12.7、SCM415相当、防食：無電解Niめっき</v>
      </c>
      <c r="D389" s="208"/>
      <c r="E389" s="209"/>
      <c r="F389" s="217" t="str">
        <f t="shared" si="15"/>
        <v>n=1</v>
      </c>
      <c r="G389" s="218"/>
      <c r="H389" s="219"/>
      <c r="I389" s="213" t="s">
        <v>27</v>
      </c>
      <c r="J389" s="220" t="str">
        <f>IF(OR(D364=0,D365="　"),"",MID(F389,3,2))</f>
        <v>1</v>
      </c>
      <c r="K389" s="214">
        <f>IFERROR(D364*J389,"")</f>
        <v>10</v>
      </c>
    </row>
    <row r="390" spans="2:11" ht="12" customHeight="1">
      <c r="B390" s="206" t="s">
        <v>153</v>
      </c>
      <c r="C390" s="207" t="str" cm="1">
        <f t="array" ref="C390">IF(OR(D364=0,D365="　"),"",IF(MID(D365,4,1)="5","G5"&amp;_xlfn.SWITCH(1*MID(LEFT(D365, LEN(D365)-1),6,2),1,"01",2,"04",3,"03",4,"04",5,"07",6,"07",7,"07",8,"12",9,"12",10,"12",11,"12",12,"12"),"G6"&amp;_xlfn.SWITCH(1*MID(LEFT(D365, LEN(D365)-1),6,2),1,"01",2,"02",3,"03",4,"04",5,"07",6,"07",7,"07",8,"12",9,"12",10,"12",11,"12",12,"12",13,"14",14,"14"))&amp;"、SS400相当、防食："&amp;_xlfn.IFS(MID(D366,1,3)="防食Ⅱ","HDZT77めっき",MID(D366,5,2)="塩害","ｱﾙﾐﾅｲｽﾞ処理",MID(D366,5,2)="酸性","重防食処理"))</f>
        <v>G504、SS400相当、防食：HDZT77めっき</v>
      </c>
      <c r="D390" s="208"/>
      <c r="E390" s="209"/>
      <c r="F390" s="217" t="str">
        <f t="shared" si="15"/>
        <v>n=1</v>
      </c>
      <c r="G390" s="218"/>
      <c r="H390" s="219"/>
      <c r="I390" s="213" t="s">
        <v>16</v>
      </c>
      <c r="J390" s="220" t="str">
        <f>IF(OR(D364=0,D365="　"),"",MID(F390,3,2))</f>
        <v>1</v>
      </c>
      <c r="K390" s="214">
        <f>IFERROR(D364*J390,"")</f>
        <v>10</v>
      </c>
    </row>
    <row r="391" spans="2:11" ht="12" customHeight="1">
      <c r="B391" s="206" t="str">
        <f>IF(MID(D368,1,3)="のり面","管付","")&amp;"支圧板"</f>
        <v>管付支圧板</v>
      </c>
      <c r="C391" s="221" t="str" cm="1">
        <f t="array" ref="C391">IF(OR(D364=0,D365="　"),"","PL"&amp;IF(MID(D368,1,3)="のり面","P","")&amp;IF(MID(D365,4,1)="5","5-"&amp;_xlfn.SWITCH(1*MID(LEFT(D365, LEN(D365)-1),6,2),1,"1",2,"2",3,"3",4,"4",5,"5",6,"6",7,"7",8,"9",9,"9",10,"10",11,"11",12,"12"),"6-"&amp;_xlfn.SWITCH(1*MID(LEFT(D365, LEN(D365)-1),6,2),1,"1",2,"2",3,"3",4,"4",5,"6",6,"6",7,"7",8,"8",9,"9",10,"10",11,"11",12,"12",13,"14",14,"14"))&amp;"、SS400相当、防食："&amp;_xlfn.IFS(MID(D366,1,3)="防食Ⅱ","HDZT77めっき",MID(D366,5,2)="塩害","ｱﾙﾐﾅｲｽﾞ処理",MID(D366,5,2)="酸性","重防食処理"))</f>
        <v>PLP5-4、SS400相当、防食：HDZT77めっき</v>
      </c>
      <c r="D391" s="208"/>
      <c r="E391" s="209"/>
      <c r="F391" s="217" t="str">
        <f t="shared" si="15"/>
        <v>n=1</v>
      </c>
      <c r="G391" s="218"/>
      <c r="H391" s="219"/>
      <c r="I391" s="213" t="s">
        <v>16</v>
      </c>
      <c r="J391" s="220" t="str">
        <f>IF(OR(D364=0,D365="　"),"",MID(F391,3,2))</f>
        <v>1</v>
      </c>
      <c r="K391" s="214">
        <f>IFERROR(D364*J391,"")</f>
        <v>10</v>
      </c>
    </row>
    <row r="392" spans="2:11" ht="12" customHeight="1">
      <c r="B392" s="206" t="s">
        <v>154</v>
      </c>
      <c r="C392" s="207" t="str">
        <f>IF(OR(D364=0,D365="　"),"","G"&amp;MID(LEFT(D365, LEN(D365)-1),4,4)&amp;"、NBR45相当")</f>
        <v>G5-4、NBR45相当</v>
      </c>
      <c r="D392" s="208"/>
      <c r="E392" s="209"/>
      <c r="F392" s="217" t="str">
        <f t="shared" si="15"/>
        <v>n=1</v>
      </c>
      <c r="G392" s="218"/>
      <c r="H392" s="219"/>
      <c r="I392" s="213" t="s">
        <v>13</v>
      </c>
      <c r="J392" s="220" t="str">
        <f>IF(OR(D364=0,D365="　"),"",MID(F392,3,2))</f>
        <v>1</v>
      </c>
      <c r="K392" s="214">
        <f>IFERROR(D364*J392,"")</f>
        <v>10</v>
      </c>
    </row>
    <row r="393" spans="2:11" ht="12" customHeight="1">
      <c r="B393" s="206" t="str" cm="1">
        <f t="array" ref="B393">_xlfn.IFS(OR(D364=0,D365="　"),"",MID(D367,1,3)="アルミ","頭部防錆油",MID(D367,1,3)&lt;&gt;"アルミ","余長キャップ")</f>
        <v>余長キャップ</v>
      </c>
      <c r="C393" s="221" t="str" cm="1">
        <f t="array" ref="C393">_xlfn.IFS(OR(D364=0,D365="　"),"",MID(D367,1,3)="アルミ","PCコートC",MID(D367,1,3)&lt;&gt;"アルミ","TC"&amp;MID(D365,4,1)&amp;"、高密度ポチエチレン")</f>
        <v>TC5、高密度ポチエチレン</v>
      </c>
      <c r="D393" s="208"/>
      <c r="E393" s="209"/>
      <c r="F393" s="217" t="str" cm="1">
        <f t="array" ref="F393">_xlfn.IFS(OR(D364=0,D365="　"),"",MID(D367,1,3)="アルミ","W="&amp;IF(MID(D365,4,1)="5",_xlfn.SWITCH(1*MID(LEFT(D365, LEN(D365)-1),6,2),1,1.9,2,1.3,3,1.3,4,1.3,5,1.6,6,1.6,7,1.6,8,3.1,9,3.1,10,3.1,11,3.1,12,3.1),"G6"&amp;_xlfn.SWITCH(1*MID(LEFT(D365, LEN(D365)-1),6,2),1,1.8,2,1.3,3,1.8,4,1.8,5,3.3,6,3.3,7,3.3,8,9.9,9,9.9,10,9.9,11,9.9,12,9.9,13,9.9,14,9.9)),MID(D367,1,3)&lt;&gt;"アルミ","n=1")</f>
        <v>n=1</v>
      </c>
      <c r="G393" s="218"/>
      <c r="H393" s="219"/>
      <c r="I393" s="213" t="str" cm="1">
        <f t="array" ref="I393">_xlfn.IFS(OR(D364=0,D365="　"),"",MID(D367,1,3)="アルミ","kg",MID(D367,1,3)&lt;&gt;"アルミ","式")</f>
        <v>式</v>
      </c>
      <c r="J393" s="220" t="str">
        <f>IF(OR(D364=0,D365="　"),"",MID(F393,3,4))</f>
        <v>1</v>
      </c>
      <c r="K393" s="214">
        <f>IFERROR(D364*J393,"")</f>
        <v>10</v>
      </c>
    </row>
    <row r="394" spans="2:11" ht="12" customHeight="1">
      <c r="B394" s="206" t="s">
        <v>9</v>
      </c>
      <c r="C394" s="207" t="str" cm="1">
        <f t="array" ref="C394">IF(OR(D364=0,D365="　"),"",IF(MID(D365,4,1)="5","PS5-"&amp;_xlfn.SWITCH(1*MID(LEFT(D365, LEN(D365)-1),6,2),1,"7",2,"2",3,"3",4,"4",5,"7",6,"7",7,"7",8,"12",9,"12",10,"12",11,"12",12,"12"),"PS6-"&amp;_xlfn.SWITCH(1*MID(LEFT(D365, LEN(D365)-1),6,2),1,"7",2,"2",3,"3",4,"4",5,"7",6,"7",7,"7",8,"12",9,"12",10,"12",11,"12",12,"12",13,"14",14,"14"))&amp;"、高密度ポリエチレン")</f>
        <v>PS5-4、高密度ポリエチレン</v>
      </c>
      <c r="D394" s="208"/>
      <c r="E394" s="209"/>
      <c r="F394" s="217" t="str">
        <f>"n=2"</f>
        <v>n=2</v>
      </c>
      <c r="G394" s="218"/>
      <c r="H394" s="219"/>
      <c r="I394" s="213" t="s">
        <v>13</v>
      </c>
      <c r="J394" s="220" t="str">
        <f>IF(OR(D364=0,D365="　"),"",MID(F394,3,2))</f>
        <v>2</v>
      </c>
      <c r="K394" s="214">
        <f>IFERROR(D364*J394,"")</f>
        <v>20</v>
      </c>
    </row>
    <row r="395" spans="2:11" ht="12" customHeight="1">
      <c r="B395" s="206" t="s">
        <v>2</v>
      </c>
      <c r="C395" s="207" t="str" cm="1">
        <f t="array" ref="C395">IF(OR(D364=0,D365="　"),"",IF(MID(D365,4,1)="5","S5-"&amp;_xlfn.IFS(1*MID(LEFT(D365, LEN(D365)-1),6,2)&lt;6,"5",1*MID(LEFT(D365, LEN(D365)-1),6,2)&lt;9,"8",1*MID(LEFT(D365, LEN(D365)-1),6,2)&gt;8,"12"),"S6-"&amp;_xlfn.IFS(1*MID(LEFT(D365, LEN(D365)-1),6,2)&lt;4,"3",1*MID(LEFT(D365, LEN(D365)-1),6,2)&lt;7,"6",1*MID(LEFT(D365, LEN(D365)-1),6,2)&lt;10,"9",1*MID(LEFT(D365, LEN(D365)-1),6,2)&lt;13,"12",1*MID(LEFT(D365, LEN(D365)-1),6,2)&gt;12,"14"))&amp;"、ポリプロピレン")</f>
        <v>S5-5、ポリプロピレン</v>
      </c>
      <c r="D395" s="208"/>
      <c r="E395" s="209"/>
      <c r="F395" s="222" t="s">
        <v>155</v>
      </c>
      <c r="G395" s="211"/>
      <c r="H395" s="212"/>
      <c r="I395" s="213" t="s">
        <v>13</v>
      </c>
      <c r="J395" s="206">
        <f>IF(OR(D364=0,D365="　"),"",MROUND((D373-0.4)/1,1))</f>
        <v>4</v>
      </c>
      <c r="K395" s="214">
        <f>IFERROR(D364*J395,"")</f>
        <v>40</v>
      </c>
    </row>
    <row r="396" spans="2:11" ht="12" customHeight="1">
      <c r="B396" s="206" t="s">
        <v>1</v>
      </c>
      <c r="C396" s="207" t="str" cm="1">
        <f t="array" ref="C396">IF(OR(D364=0,D365="　"),"",IF(MID(D365,4,1)="5","PC5-"&amp;_xlfn.IFS(1*MID(LEFT(D365, LEN(D365)-1),6,2)&lt;5,"4",1*MID(LEFT(D365, LEN(D365)-1),6,2)&lt;8,"7",1*MID(LEFT(D365, LEN(D365)-1),6,2)&lt;10,"9",1*MID(LEFT(D365, LEN(D365)-1),6,2)&gt;9,"12"),"PC6-"&amp;_xlfn.IFS(1*MID(LEFT(D365, LEN(D365)-1),6,2)&lt;4,"3",1*MID(LEFT(D365, LEN(D365)-1),6,2)&lt;8,"7",1*MID(LEFT(D365, LEN(D365)-1),6,2)&lt;13,"12",1*MID(LEFT(D365, LEN(D365)-1),6,2)&gt;12,"14"))&amp;"、ポリプロピレン")</f>
        <v>PC5-4、ポリプロピレン</v>
      </c>
      <c r="D396" s="208"/>
      <c r="E396" s="209"/>
      <c r="F396" s="217" t="str">
        <f>"n=1"</f>
        <v>n=1</v>
      </c>
      <c r="G396" s="218"/>
      <c r="H396" s="219"/>
      <c r="I396" s="213" t="s">
        <v>13</v>
      </c>
      <c r="J396" s="220" t="str">
        <f>IF(OR(D364=0,D365="　"),"",MID(F396,3,2))</f>
        <v>1</v>
      </c>
      <c r="K396" s="214">
        <f>IFERROR(D364*J396,"")</f>
        <v>10</v>
      </c>
    </row>
    <row r="397" spans="2:11" ht="12" customHeight="1">
      <c r="B397" s="206" t="s">
        <v>3</v>
      </c>
      <c r="C397" s="207" t="str">
        <f>IF(OR(D364=0,D365="　"),"","66ナイロン")</f>
        <v>66ナイロン</v>
      </c>
      <c r="D397" s="208"/>
      <c r="E397" s="209"/>
      <c r="F397" s="222" t="s">
        <v>156</v>
      </c>
      <c r="G397" s="211"/>
      <c r="H397" s="212"/>
      <c r="I397" s="213" t="s">
        <v>14</v>
      </c>
      <c r="J397" s="206">
        <f>IF(OR(D364=0,D365="　"),"",2*J395)</f>
        <v>8</v>
      </c>
      <c r="K397" s="214">
        <f>IFERROR(D364*J397,"")</f>
        <v>80</v>
      </c>
    </row>
    <row r="398" spans="2:11" ht="12" customHeight="1">
      <c r="B398" s="206" t="s">
        <v>4</v>
      </c>
      <c r="C398" s="207" t="str">
        <f>IF(OR(D364=0,D365="　"),"","フィラメントテープ")</f>
        <v>フィラメントテープ</v>
      </c>
      <c r="D398" s="208"/>
      <c r="E398" s="209"/>
      <c r="F398" s="222" t="str">
        <f>IF(OR(D364=0,D365="　"),"","L=((自由長+緊張部長)÷@1.0m)×テープ係数"&amp;IF(MID(D365,4,1)="5",_xlfn.IFS(1*MID(LEFT(D365, LEN(D365)-1),6,2)&lt;4,"0.8",1*MID(LEFT(D365, LEN(D365)-1),6,2)&lt;7,"1.0",1*MID(LEFT(D365, LEN(D365)-1),6,2)&lt;10,"1.2",1*MID(LEFT(D365, LEN(D365)-1),6,2)&lt;13,"1.4"),_xlfn.IFS(1*MID(LEFT(D365, LEN(D365)-1),6,2)&lt;4,"1.0",1*MID(LEFT(D365, LEN(D365)-1),6,2)&lt;7,"1.2",1*MID(LEFT(D365, LEN(D365)-1),6,2)&lt;10,"1.4",1*MID(LEFT(D365, LEN(D365)-1),6,2)&lt;15,"1.8")))</f>
        <v>L=((自由長+緊張部長)÷@1.0m)×テープ係数1.0</v>
      </c>
      <c r="G398" s="211"/>
      <c r="H398" s="212"/>
      <c r="I398" s="213" t="s">
        <v>12</v>
      </c>
      <c r="J398" s="223">
        <f>IF(OR(D364=0,D365="　"),"",MROUND((SUM(D374,D375))/1*RIGHT(F398, 3),0.1))</f>
        <v>5.5</v>
      </c>
      <c r="K398" s="214">
        <f>IFERROR(D364*J398,"")</f>
        <v>55</v>
      </c>
    </row>
    <row r="399" spans="2:11" ht="12" customHeight="1">
      <c r="B399" s="206" t="s">
        <v>0</v>
      </c>
      <c r="C399" s="207" t="str">
        <f>IF(OR(D364=0,D365="　"),"","16/20、高密度ポリエチレン")</f>
        <v>16/20、高密度ポリエチレン</v>
      </c>
      <c r="D399" s="208"/>
      <c r="E399" s="209"/>
      <c r="F399" s="210" t="s">
        <v>33</v>
      </c>
      <c r="G399" s="211"/>
      <c r="H399" s="212"/>
      <c r="I399" s="213" t="s">
        <v>12</v>
      </c>
      <c r="J399" s="214">
        <f>IF(OR(D364=0,D365="　"),"",MROUND(D377,0.1))</f>
        <v>9.7000000000000011</v>
      </c>
      <c r="K399" s="214">
        <f>IFERROR(D364*J399,"")</f>
        <v>97.000000000000014</v>
      </c>
    </row>
    <row r="400" spans="2:11" ht="12" customHeight="1">
      <c r="B400" s="206" t="str" cm="1">
        <f t="array" ref="B400">_xlfn.IFS(OR(D364=0,D365="　",MID(D368,1,2)="なし",MID(D368,1,3)="受圧体"),"",MID(D368,1,3)="のり面","のり面角度台座",MID(D368,1,3)="構造物","構造物壁面台座",MID(D368,1,3)="土留め","土留め台座")</f>
        <v>のり面角度台座</v>
      </c>
      <c r="C400" s="210" t="str" cm="1">
        <f t="array" ref="C400">IF(OR(D364=0,D365="　",MID(D368,1,2)="なし",MID(D368,1,3)="受圧体"),"",_xlfn.IFS(MID(D368,1,3)="のり面",IF(1*MID(D365,4,1)=5,_xlfn.IFS(1*MID(LEFT(D365, LEN(D365)-1),6,2)&lt;5,"ST140",1*MID(LEFT(D365, LEN(D365)-1),6,2)&lt;8,"ST170",1*MID(LEFT(D365, LEN(D365)-1),6,2)&lt;13,"ST220"),_xlfn.IFS(1*MID(LEFT(D365, LEN(D365)-1),6,2)&lt;4,"ST140",1*MID(LEFT(D365, LEN(D365)-1),6,2)&lt;5,"ST170",1*MID(LEFT(D365, LEN(D365)-1),6,2)&lt;8,"ST220",1*MID(LEFT(D365, LEN(D365)-1),6,2)&lt;15,"非該当"))&amp;"、FCD450相当、防食："&amp;_xlfn.IFS(MID(D366,1,3)="防食Ⅱ","HDZT77めっき",MID(D366,5,2)="塩害","ｱﾙﾐﾅｲｽﾞ処理",MID(D366,5,2)="酸性","重防食処理"),OR(MID(D368,1,3)="構造物",MID(D368,1,3)="土留め"),D365&amp;"用"&amp;IF(OR(MID(D368,1,3)="構造物",D369="　"),"",D369)&amp;"、防食："&amp;_xlfn.IFS(MID(D366,1,3)="防食Ⅱ","HDZT77めっき",MID(D366,5,2)="塩害","ｱﾙﾐﾅｲｽﾞ処理",MID(D366,5,2)="酸性","重防食処理")))</f>
        <v>ST140、FCD450相当、防食：HDZT77めっき</v>
      </c>
      <c r="D400" s="208"/>
      <c r="E400" s="209"/>
      <c r="F400" s="217" t="str">
        <f>IF(OR(D368="なし",D368="受圧体のみ"),"","n=1")</f>
        <v>n=1</v>
      </c>
      <c r="G400" s="218"/>
      <c r="H400" s="219"/>
      <c r="I400" s="213" t="str">
        <f>IF(OR(D364=0,D365="　",B400=""),"","台")</f>
        <v>台</v>
      </c>
      <c r="J400" s="220" t="str">
        <f>IF(OR(D364=0,D365="　"),"",MID(F400,3,2))</f>
        <v>1</v>
      </c>
      <c r="K400" s="214">
        <f>IFERROR(D364*J400,"")</f>
        <v>10</v>
      </c>
    </row>
    <row r="401" spans="2:11" ht="12" customHeight="1">
      <c r="B401" s="206" t="str">
        <f>IF(OR(D364=0,D365="　",MID(D368,1,3)&lt;&gt;"のり面"),"","補剛板")</f>
        <v>補剛板</v>
      </c>
      <c r="C401" s="210" t="str" cm="1">
        <f t="array" ref="C401">IF(OR(D364=0,D365="　",MID(D368,1,3)&lt;&gt;"のり面"),"",IF(MID(D365,4,1)="5","□"&amp;_xlfn.SWITCH(1*MID(LEFT(D365, LEN(D365)-1),6,2),1,"210φ131t12",2,"210φ131t12",3,"240φ131t12",4,"270φ131t12",5,"280φ143t12",6,"310φ143t16",7,"350φ143t19",8,"350φ180t19",9,"350φ180t19",10,"350φ180t19",11,"350φ180t22",12,"350φ180t22"),"□"&amp;_xlfn.SWITCH(1*MID(LEFT(D365, LEN(D365)-1),6,2),1,"210,φ131,t12",2,"240,φ131,t12",3,"270,φ131,t16",4,"300,φ143,t16",5,"350,φ180,t16",6,"350,φ180,t16",7,"350,φ180,t19",8,"400,φ──,t12",9,"400,φ──,t12",10,"400,φ──,t12",11,"400,φ──,t12",12,"400,φ──,t12",13,"400,φ──,t12",14,"400,φ──,t12"))&amp;"、SS400相当、防食："&amp;_xlfn.IFS(MID(D366,1,3)="防食Ⅱ","HDZT77めっき",MID(D366,5,2)="塩害","ｱﾙﾐﾅｲｽﾞ処理",MID(D366,5,2)="酸性","重防食処理"))</f>
        <v>□270φ131t12、SS400相当、防食：HDZT77めっき</v>
      </c>
      <c r="D401" s="208"/>
      <c r="E401" s="209"/>
      <c r="F401" s="217" t="str">
        <f>IF(OR(D364=0,D365="　",MID(D368,1,3)&lt;&gt;"のり面"),"","n=1")</f>
        <v>n=1</v>
      </c>
      <c r="G401" s="218"/>
      <c r="H401" s="219"/>
      <c r="I401" s="213" t="str">
        <f>IF(OR(D364=0,D365="　",B401="",MID(D368,1,3)&lt;&gt;"のり面"),"","枚")</f>
        <v>枚</v>
      </c>
      <c r="J401" s="220" t="str">
        <f>IF(OR(D364=0,D365="　"),"",MID(F401,3,2))</f>
        <v>1</v>
      </c>
      <c r="K401" s="214">
        <f>IFERROR(D364*J401,"")</f>
        <v>10</v>
      </c>
    </row>
    <row r="402" spans="2:11" ht="12" customHeight="1">
      <c r="B402" s="206" t="str" cm="1">
        <f t="array" ref="B402">_xlfn.IFS(OR(D364=0,D365="　"),"",MID(D367,1,3)="アルミ","",MID(D367,1,3)&lt;&gt;"アルミ","テンドン補修用塗料")</f>
        <v>テンドン補修用塗料</v>
      </c>
      <c r="C402" s="210" t="str" cm="1">
        <f t="array" ref="C402">_xlfn.IFS(OR(D364=0,D365="　"),"",MID(D367,1,3)="アルミ","",MID(D367,1,3)&lt;&gt;"アルミ","エポキシ樹脂")</f>
        <v>エポキシ樹脂</v>
      </c>
      <c r="D402" s="208"/>
      <c r="E402" s="209"/>
      <c r="F402" s="217" t="str" cm="1">
        <f t="array" ref="F402">_xlfn.IFS(OR(D364=0,D365="　"),"",MID(D367,1,3)="アルミ","",MID(D367,1,3)&lt;&gt;"アルミ","W=PC鋼より線本数×"&amp;IF(MID(D365,4,1)="5","0.28","0.40"))</f>
        <v>W=PC鋼より線本数×0.28</v>
      </c>
      <c r="G402" s="218"/>
      <c r="H402" s="219"/>
      <c r="I402" s="213" t="str" cm="1">
        <f t="array" ref="I402">_xlfn.IFS(OR(D364=0,D365="　"),"",MID(D367,1,3)="アルミ","",MID(D367,1,3)&lt;&gt;"アルミ","g")</f>
        <v>g</v>
      </c>
      <c r="J402" s="224" cm="1">
        <f t="array" ref="J402">_xlfn.IFS(OR(D364=0,D365="　"),"",MID(D367,1,3)="アルミ","",MID(D367,1,3)&lt;&gt;"アルミ",MID(LEFT(D365, LEN(D365)-1),6,2)*IF(MID(D365,4,1)="5",0.28,0.4))</f>
        <v>1.1200000000000001</v>
      </c>
      <c r="K402" s="214">
        <f>IFERROR(D364*J402,"")</f>
        <v>11.200000000000001</v>
      </c>
    </row>
    <row r="403" spans="2:11" ht="12" customHeight="1">
      <c r="B403" s="206" t="str" cm="1">
        <f t="array" ref="B403">_xlfn.IFS(OR(D364=0,D365="　"),"",MID(D367,1,3)="アルミ","",MID(D367,1,3)&lt;&gt;"アルミ","長期防錆スプレー")</f>
        <v>長期防錆スプレー</v>
      </c>
      <c r="C403" s="210" t="str" cm="1">
        <f t="array" ref="C403">_xlfn.IFS(OR(D364=0,D365="　"),"",MID(D367,1,3)="アルミ","",MID(D367,1,3)&lt;&gt;"アルミ","防錆オイル")</f>
        <v>防錆オイル</v>
      </c>
      <c r="D403" s="208"/>
      <c r="E403" s="209"/>
      <c r="F403" s="217" t="str" cm="1">
        <f t="array" ref="F403">_xlfn.IFS(OR(D364=0,D365="　"),"",MID(D367,1,3)="アルミ","",MID(D367,1,3)&lt;&gt;"アルミ","n=0.01×(PC鋼より線本数+"&amp;IF(MID(D365,4,1)="5","6","12")&amp;")")</f>
        <v>n=0.01×(PC鋼より線本数+6)</v>
      </c>
      <c r="G403" s="218"/>
      <c r="H403" s="219"/>
      <c r="I403" s="213" t="str" cm="1">
        <f t="array" ref="I403">_xlfn.IFS(OR(D364=0,D365="　"),"",MID(D367,1,3)="アルミ","",MID(D367,1,3)&lt;&gt;"アルミ","缶")</f>
        <v>缶</v>
      </c>
      <c r="J403" s="224" cm="1">
        <f t="array" ref="J403">_xlfn.IFS(OR(D364=0,D365="　"),"",MID(D367,1,3)="アルミ","",MID(D367,1,3)&lt;&gt;"アルミ",0.01*(MID(LEFT(D365, LEN(D365)-1),6,2)+IF(MID(D365,4,1)="5",6,12)))</f>
        <v>0.1</v>
      </c>
      <c r="K403" s="214">
        <f>IFERROR(D364*J403,"")</f>
        <v>1</v>
      </c>
    </row>
    <row r="404" spans="2:11" ht="12" customHeight="1">
      <c r="B404" s="206" t="str">
        <f>IF(OR(D364=0,D365="　",D370="なし"),"","フリーパッカー注入ホース")</f>
        <v/>
      </c>
      <c r="C404" s="207" t="str">
        <f>IF(OR(D364=0,D365="　",B404=""),"","16/20、高密度ポリエチレン")</f>
        <v/>
      </c>
      <c r="D404" s="208"/>
      <c r="E404" s="209"/>
      <c r="F404" s="210" t="str">
        <f>IF(B404="","","L=自由長+緊張部長")</f>
        <v/>
      </c>
      <c r="G404" s="211"/>
      <c r="H404" s="212"/>
      <c r="I404" s="213" t="str">
        <f>IF(OR(D364=0,D365="　",B404=""),"","m")</f>
        <v/>
      </c>
      <c r="J404" s="214" t="str">
        <f>IF(OR(D364=0,D365="　"),"",IF(B404="","",MROUND(D374+D375,0.1)))</f>
        <v/>
      </c>
      <c r="K404" s="214" t="str">
        <f>IFERROR(D364*J404,"")</f>
        <v/>
      </c>
    </row>
    <row r="405" spans="2:11" ht="12" customHeight="1">
      <c r="B405" s="225" t="str">
        <f>IF(OR(D364=0,D365="　",D370="なし"),"","フリーパッカー")</f>
        <v/>
      </c>
      <c r="C405" s="217" t="str" cm="1">
        <f t="array" ref="C405">IF(OR(D364=0,D365="　",B404=""),"",_xlfn.SWITCH(D379,90,"PA-170",115,"PA-200",135,"PA-240",146,"PA-240",165,"PA-350")&amp;"、織布")</f>
        <v/>
      </c>
      <c r="D405" s="208"/>
      <c r="E405" s="209"/>
      <c r="F405" s="226" t="str">
        <f>IF(B405="","","L=自由長+0.5m")</f>
        <v/>
      </c>
      <c r="G405" s="227"/>
      <c r="H405" s="228"/>
      <c r="I405" s="213" t="str">
        <f>IF(OR(D365=0,D366="　",B405=""),"","m")</f>
        <v/>
      </c>
      <c r="J405" s="214" t="str">
        <f>IF(OR(D364=0,D365="　"),"",IF(B405="","",MROUND(D374+0.5,0.1)))</f>
        <v/>
      </c>
      <c r="K405" s="214" t="str">
        <f>IFERROR(D364*J405,"")</f>
        <v/>
      </c>
    </row>
    <row r="406" spans="2:11" ht="12" customHeight="1">
      <c r="B406" s="206" t="str">
        <f>IF(OR(D364=0,D365="　",D370="なし"),"","パッカー取付加工")</f>
        <v/>
      </c>
      <c r="C406" s="207"/>
      <c r="D406" s="208"/>
      <c r="E406" s="209"/>
      <c r="F406" s="217" t="str">
        <f>IF(B406="","","n=1")</f>
        <v/>
      </c>
      <c r="G406" s="218"/>
      <c r="H406" s="219"/>
      <c r="I406" s="213" t="str">
        <f>IF(OR(D366=0,D367="　",B406=""),"","式")</f>
        <v/>
      </c>
      <c r="J406" s="220" t="str">
        <f>IF(OR(D364=0,D365="　"),"",MID(F406,3,2))</f>
        <v/>
      </c>
      <c r="K406" s="206" t="str">
        <f>IFERROR(D364*J406,"")</f>
        <v/>
      </c>
    </row>
    <row r="407" spans="2:11" ht="12" customHeight="1">
      <c r="B407" s="229"/>
      <c r="C407" s="230"/>
      <c r="D407" s="231"/>
      <c r="E407" s="232"/>
      <c r="F407" s="233"/>
      <c r="G407" s="234"/>
      <c r="H407" s="235"/>
      <c r="I407" s="236"/>
      <c r="J407" s="237"/>
      <c r="K407" s="229"/>
    </row>
    <row r="408" spans="2:11" ht="12" customHeight="1">
      <c r="B408" s="238" t="s">
        <v>30</v>
      </c>
      <c r="C408" s="239" t="s">
        <v>31</v>
      </c>
      <c r="D408" s="240"/>
      <c r="E408" s="241"/>
      <c r="F408" s="242" t="s">
        <v>157</v>
      </c>
      <c r="G408" s="243"/>
      <c r="H408" s="244"/>
      <c r="I408" s="245" t="s">
        <v>55</v>
      </c>
      <c r="J408" s="246">
        <f>IFERROR(MROUND(0.25*PI()*(0.001*D379)^2*(D372+D373+D378)*(1+2.2),0.01),"")</f>
        <v>0.17</v>
      </c>
      <c r="K408" s="246">
        <f>IFERROR(D364*J408,"")</f>
        <v>1.7000000000000002</v>
      </c>
    </row>
    <row r="410" spans="2:11" ht="12" customHeight="1">
      <c r="B410" s="247" t="s">
        <v>136</v>
      </c>
      <c r="C410" s="247"/>
      <c r="D410" s="247"/>
      <c r="F410" s="163"/>
      <c r="G410" s="164"/>
      <c r="H410" s="164"/>
    </row>
    <row r="411" spans="2:11" ht="12" customHeight="1">
      <c r="B411" s="15" t="s">
        <v>111</v>
      </c>
      <c r="C411" s="15"/>
      <c r="D411" s="1"/>
      <c r="E411" s="1"/>
      <c r="H411" s="119"/>
      <c r="J411" s="118"/>
    </row>
    <row r="412" spans="2:11" ht="12" customHeight="1">
      <c r="B412" s="165" t="s">
        <v>166</v>
      </c>
      <c r="C412" s="3"/>
      <c r="D412" s="1"/>
      <c r="E412" s="1"/>
      <c r="F412" s="8"/>
      <c r="G412" s="8"/>
      <c r="H412" s="102"/>
      <c r="I412" s="28"/>
      <c r="J412" s="118"/>
    </row>
    <row r="413" spans="2:11" ht="12" customHeight="1">
      <c r="B413" s="15" t="s">
        <v>40</v>
      </c>
      <c r="C413" s="3"/>
      <c r="D413" s="1"/>
      <c r="E413" s="1"/>
      <c r="F413" s="15" t="s">
        <v>54</v>
      </c>
      <c r="G413" s="15"/>
      <c r="H413" s="102"/>
      <c r="I413" s="28"/>
    </row>
    <row r="414" spans="2:11" ht="12" customHeight="1">
      <c r="B414" s="2" t="s">
        <v>53</v>
      </c>
      <c r="C414" s="2" t="s">
        <v>21</v>
      </c>
      <c r="D414" s="2" t="s">
        <v>22</v>
      </c>
      <c r="E414" s="17"/>
      <c r="F414" s="49" t="s">
        <v>41</v>
      </c>
      <c r="G414" s="97" t="s">
        <v>59</v>
      </c>
      <c r="H414" s="49" t="s">
        <v>44</v>
      </c>
      <c r="I414" s="2" t="s">
        <v>21</v>
      </c>
      <c r="J414" s="49" t="s">
        <v>138</v>
      </c>
      <c r="K414" s="2" t="s">
        <v>28</v>
      </c>
    </row>
    <row r="415" spans="2:11" ht="12" customHeight="1">
      <c r="B415" s="166" t="s">
        <v>25</v>
      </c>
      <c r="C415" s="18" t="s">
        <v>24</v>
      </c>
      <c r="D415" s="167">
        <v>10</v>
      </c>
      <c r="E415" s="19"/>
      <c r="F415" s="168" t="s">
        <v>43</v>
      </c>
      <c r="G415" s="169" t="s">
        <v>113</v>
      </c>
      <c r="H415" s="88" t="str" cm="1">
        <f t="array" ref="H415">_xlfn.IFS(AND(F415&lt;&gt;"非削孔",F415&lt;&gt;"無設定"),D430,F415="非削孔",IF(MID(D419,1,3)="土留め","非削孔","箱抜き"),F415="無設定","無設定")</f>
        <v>箱抜き</v>
      </c>
      <c r="I415" s="23" t="str">
        <f>IF(F415="無設定","","m")</f>
        <v>m</v>
      </c>
      <c r="J415" s="170">
        <v>0.5</v>
      </c>
      <c r="K415" s="30">
        <f>D415*J415</f>
        <v>5</v>
      </c>
    </row>
    <row r="416" spans="2:11" ht="12" customHeight="1">
      <c r="B416" s="171" t="s">
        <v>37</v>
      </c>
      <c r="C416" s="50" t="s">
        <v>38</v>
      </c>
      <c r="D416" s="172" t="s">
        <v>159</v>
      </c>
      <c r="E416" s="173"/>
      <c r="F416" s="174" t="s">
        <v>49</v>
      </c>
      <c r="G416" s="169" t="s">
        <v>114</v>
      </c>
      <c r="H416" s="88" cm="1">
        <f t="array" ref="H416">_xlfn.IFS(AND(F416&lt;&gt;"非削孔",F416&lt;&gt;"無設定"),D430,F416="非削孔","箱抜き",F416="無設定","無設定")</f>
        <v>90</v>
      </c>
      <c r="I416" s="23" t="str">
        <f t="shared" ref="I416:I424" si="16">IF(F416="無設定","","m")</f>
        <v>m</v>
      </c>
      <c r="J416" s="170">
        <v>2.64</v>
      </c>
      <c r="K416" s="30">
        <f>D415*J416</f>
        <v>26.400000000000002</v>
      </c>
    </row>
    <row r="417" spans="2:11" ht="12" customHeight="1">
      <c r="B417" s="52" t="s">
        <v>39</v>
      </c>
      <c r="C417" s="91" t="s">
        <v>38</v>
      </c>
      <c r="D417" s="175" t="s">
        <v>60</v>
      </c>
      <c r="E417" s="140"/>
      <c r="F417" s="174" t="s">
        <v>49</v>
      </c>
      <c r="G417" s="169" t="s">
        <v>115</v>
      </c>
      <c r="H417" s="88" cm="1">
        <f t="array" ref="H417">_xlfn.IFS(AND(F417&lt;&gt;"非削孔",F417&lt;&gt;"無設定"),D430,F417="非削孔","箱抜き",F417="無設定","無設定")</f>
        <v>90</v>
      </c>
      <c r="I417" s="23" t="str">
        <f t="shared" si="16"/>
        <v>m</v>
      </c>
      <c r="J417" s="170">
        <v>5.36</v>
      </c>
      <c r="K417" s="30">
        <f>D415*J417</f>
        <v>53.6</v>
      </c>
    </row>
    <row r="418" spans="2:11" ht="12" customHeight="1">
      <c r="B418" s="147" t="s">
        <v>140</v>
      </c>
      <c r="C418" s="91" t="s">
        <v>38</v>
      </c>
      <c r="D418" s="176" t="s">
        <v>141</v>
      </c>
      <c r="E418" s="141"/>
      <c r="F418" s="174" t="s">
        <v>48</v>
      </c>
      <c r="G418" s="169"/>
      <c r="H418" s="88" t="str" cm="1">
        <f t="array" ref="H418">_xlfn.IFS(AND(F418&lt;&gt;"非削孔",F418&lt;&gt;"無設定"),D430,F418="非削孔","箱抜き",F418="無設定","無設定")</f>
        <v>無設定</v>
      </c>
      <c r="I418" s="23" t="str">
        <f t="shared" si="16"/>
        <v/>
      </c>
      <c r="J418" s="170">
        <v>0</v>
      </c>
      <c r="K418" s="30">
        <f>D415*J418</f>
        <v>0</v>
      </c>
    </row>
    <row r="419" spans="2:11" ht="12" customHeight="1">
      <c r="B419" s="147" t="s">
        <v>142</v>
      </c>
      <c r="C419" s="91" t="s">
        <v>38</v>
      </c>
      <c r="D419" s="177" t="s">
        <v>160</v>
      </c>
      <c r="E419" s="21"/>
      <c r="F419" s="174" t="s">
        <v>48</v>
      </c>
      <c r="G419" s="169"/>
      <c r="H419" s="88" t="str" cm="1">
        <f t="array" ref="H419">_xlfn.IFS(AND(F419&lt;&gt;"非削孔",F419&lt;&gt;"無設定"),D430,F419="非削孔","箱抜き",F419="無設定","無設定")</f>
        <v>無設定</v>
      </c>
      <c r="I419" s="23" t="str">
        <f t="shared" si="16"/>
        <v/>
      </c>
      <c r="J419" s="170">
        <v>0</v>
      </c>
      <c r="K419" s="30">
        <f>D415*J419</f>
        <v>0</v>
      </c>
    </row>
    <row r="420" spans="2:11" ht="12" customHeight="1">
      <c r="B420" s="114" t="str">
        <f>IF(MID(D419,1,3)="土留め",D419&amp;"の種類","")</f>
        <v/>
      </c>
      <c r="C420" s="91" t="s">
        <v>38</v>
      </c>
      <c r="D420" s="178" t="s">
        <v>71</v>
      </c>
      <c r="E420" s="21"/>
      <c r="F420" s="174" t="s">
        <v>48</v>
      </c>
      <c r="G420" s="169"/>
      <c r="H420" s="88" t="str" cm="1">
        <f t="array" ref="H420">_xlfn.IFS(AND(F420&lt;&gt;"非削孔",F420&lt;&gt;"無設定"),D430,F420="非削孔","箱抜き",F420="無設定","無設定")</f>
        <v>無設定</v>
      </c>
      <c r="I420" s="23" t="str">
        <f t="shared" si="16"/>
        <v/>
      </c>
      <c r="J420" s="170">
        <v>0</v>
      </c>
      <c r="K420" s="30">
        <f>D415*J420</f>
        <v>0</v>
      </c>
    </row>
    <row r="421" spans="2:11" ht="12" customHeight="1">
      <c r="B421" s="179" t="s">
        <v>50</v>
      </c>
      <c r="C421" s="180" t="s">
        <v>38</v>
      </c>
      <c r="D421" s="181" t="s">
        <v>51</v>
      </c>
      <c r="E421" s="182"/>
      <c r="F421" s="174" t="s">
        <v>48</v>
      </c>
      <c r="G421" s="169"/>
      <c r="H421" s="88" t="str" cm="1">
        <f t="array" ref="H421">_xlfn.IFS(AND(F421&lt;&gt;"非削孔",F421&lt;&gt;"無設定"),D430,F421="非削孔","箱抜き",F421="無設定","無設定")</f>
        <v>無設定</v>
      </c>
      <c r="I421" s="23" t="str">
        <f t="shared" si="16"/>
        <v/>
      </c>
      <c r="J421" s="170">
        <v>0</v>
      </c>
      <c r="K421" s="30">
        <f>D415*J421</f>
        <v>0</v>
      </c>
    </row>
    <row r="422" spans="2:11" ht="12" customHeight="1">
      <c r="B422" s="160" t="str" cm="1">
        <f t="array" ref="B422">"頭部自由長"&amp;_xlfn.IFS(MID(D419,1,2)="なし","",MID(D419,1,3)="受圧体","(受圧体)",MID(D419,1,3)="のり面","(角度台座＋受圧体)",MID(D419,1,3)="構造物","(壁面台座)",MID(D419,1,3)="土留め","(台座+腹起し)")&amp;"　Lfh"</f>
        <v>頭部自由長(角度台座＋受圧体)　Lfh</v>
      </c>
      <c r="C422" s="155" t="s">
        <v>23</v>
      </c>
      <c r="D422" s="183">
        <v>0.5</v>
      </c>
      <c r="E422" s="21"/>
      <c r="F422" s="174" t="s">
        <v>144</v>
      </c>
      <c r="G422" s="169"/>
      <c r="H422" s="88" cm="1">
        <f t="array" ref="H422">_xlfn.IFS(AND(F422&lt;&gt;"非削孔",F422&lt;&gt;"無設定"),D430,F422="非削孔","箱抜き",F422="無設定","無設定")</f>
        <v>90</v>
      </c>
      <c r="I422" s="23" t="str">
        <f t="shared" si="16"/>
        <v>m</v>
      </c>
      <c r="J422" s="170">
        <v>0</v>
      </c>
      <c r="K422" s="30">
        <f>D415*J422</f>
        <v>0</v>
      </c>
    </row>
    <row r="423" spans="2:11" ht="12" customHeight="1">
      <c r="B423" s="22" t="s">
        <v>108</v>
      </c>
      <c r="C423" s="23" t="s">
        <v>23</v>
      </c>
      <c r="D423" s="184">
        <v>4</v>
      </c>
      <c r="E423" s="21"/>
      <c r="F423" s="174" t="s">
        <v>48</v>
      </c>
      <c r="G423" s="169"/>
      <c r="H423" s="88" t="str" cm="1">
        <f t="array" ref="H423">_xlfn.IFS(AND(F423&lt;&gt;"非削孔",F423&lt;&gt;"無設定"),D430,F423="非削孔","箱抜き",F423="無設定","無設定")</f>
        <v>無設定</v>
      </c>
      <c r="I423" s="23" t="str">
        <f t="shared" si="16"/>
        <v/>
      </c>
      <c r="J423" s="170">
        <v>0</v>
      </c>
      <c r="K423" s="30">
        <f>D415*J423</f>
        <v>0</v>
      </c>
    </row>
    <row r="424" spans="2:11" ht="12" customHeight="1">
      <c r="B424" s="157" t="s">
        <v>36</v>
      </c>
      <c r="C424" s="158" t="s">
        <v>23</v>
      </c>
      <c r="D424" s="185">
        <v>4</v>
      </c>
      <c r="F424" s="186" t="str" cm="1">
        <f t="array" ref="F424">INDEX(F415:H423,MATCH("無設定",F415:F423,0)-1,MATCH(F414,F414:H414,0))</f>
        <v>軟　岩</v>
      </c>
      <c r="G424" s="100" t="str" cm="1">
        <f t="array" ref="G424">INDEX(F415:H423,MATCH("無設定",F415:F423,0)-1,MATCH(G414,F414:H414,0))&amp;"　(先端長 L2d)"</f>
        <v>風化岩 CL　(先端長 L2d)</v>
      </c>
      <c r="H424" s="88" cm="1">
        <f t="array" ref="H424">INDEX(F415:H423,MATCH("無設定",F415:F423,0)-1,MATCH(H414,F414:H414,0))</f>
        <v>90</v>
      </c>
      <c r="I424" s="23" t="str">
        <f t="shared" si="16"/>
        <v>m</v>
      </c>
      <c r="J424" s="98">
        <f>D429</f>
        <v>0.25</v>
      </c>
      <c r="K424" s="78">
        <f>IFERROR(D415*J424,"")</f>
        <v>2.5</v>
      </c>
    </row>
    <row r="425" spans="2:11" ht="12" customHeight="1">
      <c r="B425" s="154" t="s">
        <v>145</v>
      </c>
      <c r="C425" s="155" t="s">
        <v>23</v>
      </c>
      <c r="D425" s="187">
        <f>IF(OR(D415=0,D416="　"),"──",SUM(D422:D423))</f>
        <v>4.5</v>
      </c>
      <c r="E425" s="19"/>
      <c r="F425" s="188"/>
      <c r="G425" s="75" t="s">
        <v>124</v>
      </c>
      <c r="H425" s="103"/>
      <c r="I425" s="18" t="s">
        <v>23</v>
      </c>
      <c r="J425" s="74">
        <f>SUMIFS(J415:J424,F415:F424,"&lt;&gt;非削孔",F415:F424,"&lt;&gt;無設定")</f>
        <v>8.25</v>
      </c>
      <c r="K425" s="95">
        <f>SUMIFS(K415:K424,F415:F424,"&lt;&gt;非削孔",F415:F424,"&lt;&gt;無設定")</f>
        <v>82.5</v>
      </c>
    </row>
    <row r="426" spans="2:11" ht="12" customHeight="1">
      <c r="B426" s="146" t="s">
        <v>146</v>
      </c>
      <c r="C426" s="23" t="s">
        <v>23</v>
      </c>
      <c r="D426" s="189" cm="1">
        <f t="array" ref="D426">IF(OR(D415=0,D416="　"),"──",IF(MID(D416,4,1)="5",_xlfn.IFS(1*MID(LEFT(D416, LEN(D416)-1),6,2)&lt;8,1,1*MID(LEFT(D416, LEN(D416)-1),6,2)&lt;13,1.2),_xlfn.IFS(1*MID(LEFT(D416, LEN(D416)-1),6,2)&lt;6,1,1*MID(LEFT(D416, LEN(D416)-1),6,2)&lt;15,1.2)))</f>
        <v>1</v>
      </c>
      <c r="E426" s="19"/>
      <c r="F426" s="190"/>
      <c r="G426" s="76" t="s">
        <v>47</v>
      </c>
      <c r="H426" s="104"/>
      <c r="I426" s="79" t="s">
        <v>46</v>
      </c>
      <c r="J426" s="77" t="str">
        <f>IF(OR(D415=0,D416="　"),"",IF(SUM(D423:D424,D429)=J425,"OK","NG"))</f>
        <v>OK</v>
      </c>
      <c r="K426" s="145" t="str">
        <f>IF(J426&lt;&gt;"NG","──",J425-SUM(D423:D424,D429))</f>
        <v>──</v>
      </c>
    </row>
    <row r="427" spans="2:11" ht="12" customHeight="1">
      <c r="B427" s="22" t="s">
        <v>125</v>
      </c>
      <c r="C427" s="23" t="s">
        <v>35</v>
      </c>
      <c r="D427" s="84">
        <f>IF(OR(D415=0,D416="　"),"──",0.2)</f>
        <v>0.2</v>
      </c>
      <c r="F427" s="191" t="s">
        <v>58</v>
      </c>
      <c r="G427" s="248" t="s">
        <v>110</v>
      </c>
      <c r="H427" s="249"/>
      <c r="I427" s="249"/>
      <c r="J427" s="249"/>
      <c r="K427" s="250"/>
    </row>
    <row r="428" spans="2:11" ht="12" customHeight="1">
      <c r="B428" s="6" t="s">
        <v>147</v>
      </c>
      <c r="C428" s="23" t="s">
        <v>23</v>
      </c>
      <c r="D428" s="60">
        <f>IF(OR(D415=0,D416="　"),"──",SUM(D424:D427))</f>
        <v>9.6999999999999993</v>
      </c>
    </row>
    <row r="429" spans="2:11" ht="12" customHeight="1">
      <c r="B429" s="25" t="s">
        <v>127</v>
      </c>
      <c r="C429" s="26" t="s">
        <v>23</v>
      </c>
      <c r="D429" s="27">
        <f>IF(OR(D415=0,D416="　"),"──",0.25)</f>
        <v>0.25</v>
      </c>
      <c r="F429" s="8"/>
      <c r="G429" s="8"/>
      <c r="H429" s="102"/>
    </row>
    <row r="430" spans="2:11" ht="12" customHeight="1">
      <c r="B430" s="95" t="s">
        <v>123</v>
      </c>
      <c r="C430" s="18" t="s">
        <v>32</v>
      </c>
      <c r="D430" s="192">
        <v>90</v>
      </c>
      <c r="E430" s="193" t="str">
        <f>IF(D430&lt;D431,"NG：削孔径不適合","")</f>
        <v/>
      </c>
      <c r="F430" s="8"/>
      <c r="G430" s="8"/>
      <c r="H430" s="102"/>
    </row>
    <row r="431" spans="2:11" ht="12" customHeight="1">
      <c r="B431" s="25" t="s">
        <v>122</v>
      </c>
      <c r="C431" s="26" t="s">
        <v>32</v>
      </c>
      <c r="D431" s="194" cm="1">
        <f t="array" ref="D431">IF(OR(D415=0,D416="　"),"──",IF(D421="なし",IF(MID(D416,4,1)="5",_xlfn.IFS(1*MID(LEFT(D416, LEN(D416)-1),6,2)&lt;6,90,1*MID(LEFT(D416, LEN(D416)-1),6,2)&lt;9,115,1*MID(LEFT(D416, LEN(D416)-1),6,2)&gt;8,135),_xlfn.IFS(1*MID(LEFT(D416, LEN(D416)-1),6,2)&lt;4,90,1*MID(LEFT(D416, LEN(D416)-1),6,2)&lt;7,115,1*MID(LEFT(D416, LEN(D416)-1),6,2)&lt;10,135,1*MID(LEFT(D416, LEN(D416)-1),6,2)&lt;13,146,1*MID(LEFT(D416, LEN(D416)-1),6,2)&gt;12,165)),IF(MID(D416,4,1)="5",_xlfn.IFS(1*MID(LEFT(D416, LEN(D416)-1),6,2)&lt;3,90,1*MID(LEFT(D416, LEN(D416)-1),6,2)&lt;7,115,1*MID(LEFT(D416, LEN(D416)-1),6,2)&lt;9,135,1*MID(LEFT(D416, LEN(D416)-1),6,2)&gt;8,146),_xlfn.IFS(1*MID(LEFT(D416, LEN(D416)-1),6,2)&lt;3,90,1*MID(LEFT(D416, LEN(D416)-1),6,2)&lt;4,115,1*MID(LEFT(D416, LEN(D416)-1),6,2)&lt;6,135,1*MID(LEFT(D416, LEN(D416)-1),6,2)&lt;10,146,1*MID(LEFT(D416, LEN(D416)-1),6,2)&lt;13,165,1*MID(LEFT(D416, LEN(D416)-1),6,2)&gt;12,216))))</f>
        <v>90</v>
      </c>
      <c r="E431" s="195"/>
      <c r="F431" s="8"/>
      <c r="G431" s="8"/>
      <c r="H431" s="102"/>
    </row>
    <row r="432" spans="2:11" ht="12" customHeight="1">
      <c r="B432" s="20"/>
      <c r="C432" s="46"/>
      <c r="D432" s="117"/>
      <c r="F432" s="8"/>
      <c r="G432" s="8"/>
      <c r="H432" s="102"/>
    </row>
    <row r="433" spans="2:11" ht="12" customHeight="1">
      <c r="B433" s="15" t="str">
        <f>"■"&amp;MID(B410,2,14)</f>
        <v>■本設：EHDアンカーHP工法</v>
      </c>
      <c r="C433" s="3"/>
      <c r="D433" s="1"/>
      <c r="E433" s="1"/>
      <c r="F433" s="8"/>
      <c r="G433" s="8"/>
      <c r="H433" s="102"/>
    </row>
    <row r="434" spans="2:11" ht="12" customHeight="1">
      <c r="B434" s="2" t="s">
        <v>17</v>
      </c>
      <c r="C434" s="43"/>
      <c r="D434" s="196" t="s">
        <v>148</v>
      </c>
      <c r="E434" s="135"/>
      <c r="F434" s="16"/>
      <c r="G434" s="61" t="s">
        <v>42</v>
      </c>
      <c r="H434" s="97"/>
      <c r="I434" s="2" t="s">
        <v>21</v>
      </c>
      <c r="J434" s="49" t="s">
        <v>149</v>
      </c>
      <c r="K434" s="2" t="s">
        <v>28</v>
      </c>
    </row>
    <row r="435" spans="2:11" ht="12" customHeight="1">
      <c r="B435" s="197" t="s">
        <v>150</v>
      </c>
      <c r="C435" s="198" t="str">
        <f>IF(OR(D415=0,D416="　"),"",D416&amp;" ("&amp;MID(LEFT(D416, LEN(D416)-1),6,2)&amp;IF(MID(D416,4,1)="5","φ12.7","φ15.2")&amp;")")</f>
        <v>EHD5-4H (4φ12.7)</v>
      </c>
      <c r="D435" s="199"/>
      <c r="E435" s="200"/>
      <c r="F435" s="201" t="str">
        <f>"W=テンドン長×PC鋼より線本数×"&amp;IF(MID(D416,4,1)="5","0.774","1.101")&amp;"kg/m"</f>
        <v>W=テンドン長×PC鋼より線本数×0.774kg/m</v>
      </c>
      <c r="G435" s="202"/>
      <c r="H435" s="203"/>
      <c r="I435" s="204" t="s">
        <v>11</v>
      </c>
      <c r="J435" s="205">
        <f>IF(OR(D415=0,D416="　"),"",MROUND(D428*MID(LEFT(D416, LEN(D416)-1),6,2)*IF(MID(D416,4,1)="5","0.774","1.101"),0.01))</f>
        <v>30.03</v>
      </c>
      <c r="K435" s="205">
        <f>IFERROR(D415*J435,"")</f>
        <v>300.3</v>
      </c>
    </row>
    <row r="436" spans="2:11" ht="12" customHeight="1">
      <c r="B436" s="206" t="s">
        <v>151</v>
      </c>
      <c r="C436" s="207"/>
      <c r="D436" s="208"/>
      <c r="E436" s="209"/>
      <c r="F436" s="210" t="s">
        <v>33</v>
      </c>
      <c r="G436" s="211"/>
      <c r="H436" s="212"/>
      <c r="I436" s="213" t="s">
        <v>12</v>
      </c>
      <c r="J436" s="214">
        <f>IF(OR(D415=0,D416="　"),"",MROUND(D428,0.1))</f>
        <v>9.7000000000000011</v>
      </c>
      <c r="K436" s="214">
        <f>IFERROR(D415*J436,"")</f>
        <v>97.000000000000014</v>
      </c>
    </row>
    <row r="437" spans="2:11" ht="12" customHeight="1">
      <c r="B437" s="206" t="str">
        <f>"頭部キャップ"</f>
        <v>頭部キャップ</v>
      </c>
      <c r="C437" s="207" t="str" cm="1">
        <f t="array" ref="C437">IF(OR(D415=0,D416="　"),"",IF(MID(D416,4,1)="5",_xlfn.SWITCH(1*MID(LEFT(D416, LEN(D416)-1),6,2),1,"S",2,"S",3,"S",4,"S",5,"M",6,"M",7,"M",8,"L",9,"L",10,"L",11,"L",12,"L"),_xlfn.SWITCH(1*MID(LEFT(D416, LEN(D416)-1),6,2),1,"S",2,"S",3,"M",4,"M",5,"L",6,"L",7,"L",8,"LL",9,"LL",10,"LL",11,"LL",12,"LL",13,"LL",14,"LL"))&amp;"型"&amp;D418&amp;IF(OR(MID(D418,1,2)="透明",MID(D418,1,2)="5窓"),"、PC樹脂","")&amp;"、ｱﾙﾐAC4C相当"&amp;_xlfn.IFS(MID(D417,1,3)="防食Ⅱ","",MID(D417,5,2)="塩害","、防食：ﾀｹｺｰﾄ処理",MID(D417,5,2)="酸性","、防食：重防食処理"))</f>
        <v>S型透明キャップ、PC樹脂、ｱﾙﾐAC4C相当</v>
      </c>
      <c r="D437" s="215"/>
      <c r="E437" s="216"/>
      <c r="F437" s="217" t="str">
        <f t="shared" ref="F437:F443" si="17">"n=1"</f>
        <v>n=1</v>
      </c>
      <c r="G437" s="218"/>
      <c r="H437" s="219"/>
      <c r="I437" s="213" t="s">
        <v>13</v>
      </c>
      <c r="J437" s="220" t="str">
        <f>IF(OR(D415=0,D416="　"),"",MID(F437,3,2))</f>
        <v>1</v>
      </c>
      <c r="K437" s="214">
        <f>IFERROR(D415*J437,"")</f>
        <v>10</v>
      </c>
    </row>
    <row r="438" spans="2:11" ht="12" customHeight="1">
      <c r="B438" s="206" t="s">
        <v>5</v>
      </c>
      <c r="C438" s="207" t="str" cm="1">
        <f t="array" ref="C438">IF(OR(D415=0,D416="　"),"",IF(MID(D416,4,1)="5","G5"&amp;_xlfn.SWITCH(1*MID(LEFT(D416, LEN(D416)-1),6,2),1,"01",2,"02",3,"03",4,"04",5,"07",6,"07",7,"07",8,"09",9,"09",10,"12",11,"12",12,"12"),"G6"&amp;_xlfn.SWITCH(1*MID(LEFT(D416, LEN(D416)-1),6,2),1,"01",2,"02",3,"03",4,"04",5,"07",6,"07",7,"07",8,"09",9,"09",10,"12",11,"12",12,"12",13,"14",14,"14"))&amp;"、S45C相当"&amp;IF(MID(D418,1,3)&lt;&gt;"アルミ","、防食：無電解Niめっき",""))</f>
        <v>G504、S45C相当、防食：無電解Niめっき</v>
      </c>
      <c r="D438" s="208"/>
      <c r="E438" s="209"/>
      <c r="F438" s="217" t="str">
        <f t="shared" si="17"/>
        <v>n=1</v>
      </c>
      <c r="G438" s="218"/>
      <c r="H438" s="219"/>
      <c r="I438" s="213" t="s">
        <v>13</v>
      </c>
      <c r="J438" s="220" t="str">
        <f>IF(OR(D415=0,D416="　"),"",MID(F438,3,2))</f>
        <v>1</v>
      </c>
      <c r="K438" s="214">
        <f>IFERROR(D415*J438,"")</f>
        <v>10</v>
      </c>
    </row>
    <row r="439" spans="2:11" ht="12" customHeight="1">
      <c r="B439" s="206" t="s">
        <v>152</v>
      </c>
      <c r="C439" s="207" t="str" cm="1">
        <f t="array" ref="C439">IF(OR(D415=0,D416="　"),"",IF(MID(D416,4,1)="5","G5"&amp;_xlfn.SWITCH(1*MID(LEFT(D416, LEN(D416)-1),6,2),1,"01",2,"02",3,"03",4,"04",5,"07",6,"07",7,"07",8,"09",9,"09",10,"12",11,"12",12,"12"),"G6"&amp;_xlfn.SWITCH(1*MID(LEFT(D416, LEN(D416)-1),6,2),1,"01",2,"02",3,"03",4,"04",5,"07",6,"07",7,"07",8,"09",9,"09",10,"12",11,"12",12,"12",13,"14",14,"14"))&amp;"、S45C相当"&amp;IF(MID(D418,1,3)&lt;&gt;"アルミ","、防食：無電解Niめっき",""))</f>
        <v>G504、S45C相当、防食：無電解Niめっき</v>
      </c>
      <c r="D439" s="208"/>
      <c r="E439" s="209"/>
      <c r="F439" s="217" t="str">
        <f t="shared" si="17"/>
        <v>n=1</v>
      </c>
      <c r="G439" s="218"/>
      <c r="H439" s="219"/>
      <c r="I439" s="213" t="s">
        <v>13</v>
      </c>
      <c r="J439" s="220" t="str">
        <f>IF(OR(D415=0,D416="　"),"",MID(F439,3,2))</f>
        <v>1</v>
      </c>
      <c r="K439" s="214">
        <f>IFERROR(D415*J439,"")</f>
        <v>10</v>
      </c>
    </row>
    <row r="440" spans="2:11" ht="12" customHeight="1">
      <c r="B440" s="206" t="s">
        <v>7</v>
      </c>
      <c r="C440" s="207" t="str">
        <f>IF(OR(D415=0,D416="　"),"",IF(1*MID(D416,4,1)=5,"ECF12.7","ECF15.2")&amp;"、SCM415相当"&amp;IF(MID(D418,1,3)&lt;&gt;"アルミ","、防食：無電解Niめっき",""))</f>
        <v>ECF12.7、SCM415相当、防食：無電解Niめっき</v>
      </c>
      <c r="D440" s="208"/>
      <c r="E440" s="209"/>
      <c r="F440" s="217" t="str">
        <f t="shared" si="17"/>
        <v>n=1</v>
      </c>
      <c r="G440" s="218"/>
      <c r="H440" s="219"/>
      <c r="I440" s="213" t="s">
        <v>27</v>
      </c>
      <c r="J440" s="220" t="str">
        <f>IF(OR(D415=0,D416="　"),"",MID(F440,3,2))</f>
        <v>1</v>
      </c>
      <c r="K440" s="214">
        <f>IFERROR(D415*J440,"")</f>
        <v>10</v>
      </c>
    </row>
    <row r="441" spans="2:11" ht="12" customHeight="1">
      <c r="B441" s="206" t="s">
        <v>153</v>
      </c>
      <c r="C441" s="207" t="str" cm="1">
        <f t="array" ref="C441">IF(OR(D415=0,D416="　"),"",IF(MID(D416,4,1)="5","G5"&amp;_xlfn.SWITCH(1*MID(LEFT(D416, LEN(D416)-1),6,2),1,"01",2,"04",3,"03",4,"04",5,"07",6,"07",7,"07",8,"12",9,"12",10,"12",11,"12",12,"12"),"G6"&amp;_xlfn.SWITCH(1*MID(LEFT(D416, LEN(D416)-1),6,2),1,"01",2,"02",3,"03",4,"04",5,"07",6,"07",7,"07",8,"12",9,"12",10,"12",11,"12",12,"12",13,"14",14,"14"))&amp;"、SS400相当、防食："&amp;_xlfn.IFS(MID(D417,1,3)="防食Ⅱ","HDZT77めっき",MID(D417,5,2)="塩害","ｱﾙﾐﾅｲｽﾞ処理",MID(D417,5,2)="酸性","重防食処理"))</f>
        <v>G504、SS400相当、防食：HDZT77めっき</v>
      </c>
      <c r="D441" s="208"/>
      <c r="E441" s="209"/>
      <c r="F441" s="217" t="str">
        <f t="shared" si="17"/>
        <v>n=1</v>
      </c>
      <c r="G441" s="218"/>
      <c r="H441" s="219"/>
      <c r="I441" s="213" t="s">
        <v>16</v>
      </c>
      <c r="J441" s="220" t="str">
        <f>IF(OR(D415=0,D416="　"),"",MID(F441,3,2))</f>
        <v>1</v>
      </c>
      <c r="K441" s="214">
        <f>IFERROR(D415*J441,"")</f>
        <v>10</v>
      </c>
    </row>
    <row r="442" spans="2:11" ht="12" customHeight="1">
      <c r="B442" s="206" t="str">
        <f>IF(MID(D419,1,3)="のり面","管付","")&amp;"支圧板"</f>
        <v>管付支圧板</v>
      </c>
      <c r="C442" s="221" t="str" cm="1">
        <f t="array" ref="C442">IF(OR(D415=0,D416="　"),"","PL"&amp;IF(MID(D419,1,3)="のり面","P","")&amp;IF(MID(D416,4,1)="5","5-"&amp;_xlfn.SWITCH(1*MID(LEFT(D416, LEN(D416)-1),6,2),1,"1",2,"2",3,"3",4,"4",5,"5",6,"6",7,"7",8,"9",9,"9",10,"10",11,"11",12,"12"),"6-"&amp;_xlfn.SWITCH(1*MID(LEFT(D416, LEN(D416)-1),6,2),1,"1",2,"2",3,"3",4,"4",5,"6",6,"6",7,"7",8,"8",9,"9",10,"10",11,"11",12,"12",13,"14",14,"14"))&amp;"、SS400相当、防食："&amp;_xlfn.IFS(MID(D417,1,3)="防食Ⅱ","HDZT77めっき",MID(D417,5,2)="塩害","ｱﾙﾐﾅｲｽﾞ処理",MID(D417,5,2)="酸性","重防食処理"))</f>
        <v>PLP5-4、SS400相当、防食：HDZT77めっき</v>
      </c>
      <c r="D442" s="208"/>
      <c r="E442" s="209"/>
      <c r="F442" s="217" t="str">
        <f t="shared" si="17"/>
        <v>n=1</v>
      </c>
      <c r="G442" s="218"/>
      <c r="H442" s="219"/>
      <c r="I442" s="213" t="s">
        <v>16</v>
      </c>
      <c r="J442" s="220" t="str">
        <f>IF(OR(D415=0,D416="　"),"",MID(F442,3,2))</f>
        <v>1</v>
      </c>
      <c r="K442" s="214">
        <f>IFERROR(D415*J442,"")</f>
        <v>10</v>
      </c>
    </row>
    <row r="443" spans="2:11" ht="12" customHeight="1">
      <c r="B443" s="206" t="s">
        <v>154</v>
      </c>
      <c r="C443" s="207" t="str">
        <f>IF(OR(D415=0,D416="　"),"","G"&amp;MID(LEFT(D416, LEN(D416)-1),4,4)&amp;"、NBR45相当")</f>
        <v>G5-4、NBR45相当</v>
      </c>
      <c r="D443" s="208"/>
      <c r="E443" s="209"/>
      <c r="F443" s="217" t="str">
        <f t="shared" si="17"/>
        <v>n=1</v>
      </c>
      <c r="G443" s="218"/>
      <c r="H443" s="219"/>
      <c r="I443" s="213" t="s">
        <v>13</v>
      </c>
      <c r="J443" s="220" t="str">
        <f>IF(OR(D415=0,D416="　"),"",MID(F443,3,2))</f>
        <v>1</v>
      </c>
      <c r="K443" s="214">
        <f>IFERROR(D415*J443,"")</f>
        <v>10</v>
      </c>
    </row>
    <row r="444" spans="2:11" ht="12" customHeight="1">
      <c r="B444" s="206" t="str" cm="1">
        <f t="array" ref="B444">_xlfn.IFS(OR(D415=0,D416="　"),"",MID(D418,1,3)="アルミ","頭部防錆油",MID(D418,1,3)&lt;&gt;"アルミ","余長キャップ")</f>
        <v>余長キャップ</v>
      </c>
      <c r="C444" s="221" t="str" cm="1">
        <f t="array" ref="C444">_xlfn.IFS(OR(D415=0,D416="　"),"",MID(D418,1,3)="アルミ","PCコートC",MID(D418,1,3)&lt;&gt;"アルミ","TC"&amp;MID(D416,4,1)&amp;"、高密度ポチエチレン")</f>
        <v>TC5、高密度ポチエチレン</v>
      </c>
      <c r="D444" s="208"/>
      <c r="E444" s="209"/>
      <c r="F444" s="217" t="str" cm="1">
        <f t="array" ref="F444">_xlfn.IFS(OR(D415=0,D416="　"),"",MID(D418,1,3)="アルミ","W="&amp;IF(MID(D416,4,1)="5",_xlfn.SWITCH(1*MID(LEFT(D416, LEN(D416)-1),6,2),1,1.9,2,1.3,3,1.3,4,1.3,5,1.6,6,1.6,7,1.6,8,3.1,9,3.1,10,3.1,11,3.1,12,3.1),"G6"&amp;_xlfn.SWITCH(1*MID(LEFT(D416, LEN(D416)-1),6,2),1,1.8,2,1.3,3,1.8,4,1.8,5,3.3,6,3.3,7,3.3,8,9.9,9,9.9,10,9.9,11,9.9,12,9.9,13,9.9,14,9.9)),MID(D418,1,3)&lt;&gt;"アルミ","n=1")</f>
        <v>n=1</v>
      </c>
      <c r="G444" s="218"/>
      <c r="H444" s="219"/>
      <c r="I444" s="213" t="str" cm="1">
        <f t="array" ref="I444">_xlfn.IFS(OR(D415=0,D416="　"),"",MID(D418,1,3)="アルミ","kg",MID(D418,1,3)&lt;&gt;"アルミ","式")</f>
        <v>式</v>
      </c>
      <c r="J444" s="220" t="str">
        <f>IF(OR(D415=0,D416="　"),"",MID(F444,3,4))</f>
        <v>1</v>
      </c>
      <c r="K444" s="214">
        <f>IFERROR(D415*J444,"")</f>
        <v>10</v>
      </c>
    </row>
    <row r="445" spans="2:11" ht="12" customHeight="1">
      <c r="B445" s="206" t="s">
        <v>9</v>
      </c>
      <c r="C445" s="207" t="str" cm="1">
        <f t="array" ref="C445">IF(OR(D415=0,D416="　"),"",IF(MID(D416,4,1)="5","PS5-"&amp;_xlfn.SWITCH(1*MID(LEFT(D416, LEN(D416)-1),6,2),1,"7",2,"2",3,"3",4,"4",5,"7",6,"7",7,"7",8,"12",9,"12",10,"12",11,"12",12,"12"),"PS6-"&amp;_xlfn.SWITCH(1*MID(LEFT(D416, LEN(D416)-1),6,2),1,"7",2,"2",3,"3",4,"4",5,"7",6,"7",7,"7",8,"12",9,"12",10,"12",11,"12",12,"12",13,"14",14,"14"))&amp;"、高密度ポリエチレン")</f>
        <v>PS5-4、高密度ポリエチレン</v>
      </c>
      <c r="D445" s="208"/>
      <c r="E445" s="209"/>
      <c r="F445" s="217" t="str">
        <f>"n=2"</f>
        <v>n=2</v>
      </c>
      <c r="G445" s="218"/>
      <c r="H445" s="219"/>
      <c r="I445" s="213" t="s">
        <v>13</v>
      </c>
      <c r="J445" s="220" t="str">
        <f>IF(OR(D415=0,D416="　"),"",MID(F445,3,2))</f>
        <v>2</v>
      </c>
      <c r="K445" s="214">
        <f>IFERROR(D415*J445,"")</f>
        <v>20</v>
      </c>
    </row>
    <row r="446" spans="2:11" ht="12" customHeight="1">
      <c r="B446" s="206" t="s">
        <v>2</v>
      </c>
      <c r="C446" s="207" t="str" cm="1">
        <f t="array" ref="C446">IF(OR(D415=0,D416="　"),"",IF(MID(D416,4,1)="5","S5-"&amp;_xlfn.IFS(1*MID(LEFT(D416, LEN(D416)-1),6,2)&lt;6,"5",1*MID(LEFT(D416, LEN(D416)-1),6,2)&lt;9,"8",1*MID(LEFT(D416, LEN(D416)-1),6,2)&gt;8,"12"),"S6-"&amp;_xlfn.IFS(1*MID(LEFT(D416, LEN(D416)-1),6,2)&lt;4,"3",1*MID(LEFT(D416, LEN(D416)-1),6,2)&lt;7,"6",1*MID(LEFT(D416, LEN(D416)-1),6,2)&lt;10,"9",1*MID(LEFT(D416, LEN(D416)-1),6,2)&lt;13,"12",1*MID(LEFT(D416, LEN(D416)-1),6,2)&gt;12,"14"))&amp;"、ポリプロピレン")</f>
        <v>S5-5、ポリプロピレン</v>
      </c>
      <c r="D446" s="208"/>
      <c r="E446" s="209"/>
      <c r="F446" s="222" t="s">
        <v>155</v>
      </c>
      <c r="G446" s="211"/>
      <c r="H446" s="212"/>
      <c r="I446" s="213" t="s">
        <v>13</v>
      </c>
      <c r="J446" s="206">
        <f>IF(OR(D415=0,D416="　"),"",MROUND((D424-0.4)/1,1))</f>
        <v>4</v>
      </c>
      <c r="K446" s="214">
        <f>IFERROR(D415*J446,"")</f>
        <v>40</v>
      </c>
    </row>
    <row r="447" spans="2:11" ht="12" customHeight="1">
      <c r="B447" s="206" t="s">
        <v>1</v>
      </c>
      <c r="C447" s="207" t="str" cm="1">
        <f t="array" ref="C447">IF(OR(D415=0,D416="　"),"",IF(MID(D416,4,1)="5","PC5-"&amp;_xlfn.IFS(1*MID(LEFT(D416, LEN(D416)-1),6,2)&lt;5,"4",1*MID(LEFT(D416, LEN(D416)-1),6,2)&lt;8,"7",1*MID(LEFT(D416, LEN(D416)-1),6,2)&lt;10,"9",1*MID(LEFT(D416, LEN(D416)-1),6,2)&gt;9,"12"),"PC6-"&amp;_xlfn.IFS(1*MID(LEFT(D416, LEN(D416)-1),6,2)&lt;4,"3",1*MID(LEFT(D416, LEN(D416)-1),6,2)&lt;8,"7",1*MID(LEFT(D416, LEN(D416)-1),6,2)&lt;13,"12",1*MID(LEFT(D416, LEN(D416)-1),6,2)&gt;12,"14"))&amp;"、ポリプロピレン")</f>
        <v>PC5-4、ポリプロピレン</v>
      </c>
      <c r="D447" s="208"/>
      <c r="E447" s="209"/>
      <c r="F447" s="217" t="str">
        <f>"n=1"</f>
        <v>n=1</v>
      </c>
      <c r="G447" s="218"/>
      <c r="H447" s="219"/>
      <c r="I447" s="213" t="s">
        <v>13</v>
      </c>
      <c r="J447" s="220" t="str">
        <f>IF(OR(D415=0,D416="　"),"",MID(F447,3,2))</f>
        <v>1</v>
      </c>
      <c r="K447" s="214">
        <f>IFERROR(D415*J447,"")</f>
        <v>10</v>
      </c>
    </row>
    <row r="448" spans="2:11" ht="12" customHeight="1">
      <c r="B448" s="206" t="s">
        <v>3</v>
      </c>
      <c r="C448" s="207" t="str">
        <f>IF(OR(D415=0,D416="　"),"","66ナイロン")</f>
        <v>66ナイロン</v>
      </c>
      <c r="D448" s="208"/>
      <c r="E448" s="209"/>
      <c r="F448" s="222" t="s">
        <v>156</v>
      </c>
      <c r="G448" s="211"/>
      <c r="H448" s="212"/>
      <c r="I448" s="213" t="s">
        <v>14</v>
      </c>
      <c r="J448" s="206">
        <f>IF(OR(D415=0,D416="　"),"",2*J446)</f>
        <v>8</v>
      </c>
      <c r="K448" s="214">
        <f>IFERROR(D415*J448,"")</f>
        <v>80</v>
      </c>
    </row>
    <row r="449" spans="2:11" ht="12" customHeight="1">
      <c r="B449" s="206" t="s">
        <v>4</v>
      </c>
      <c r="C449" s="207" t="str">
        <f>IF(OR(D415=0,D416="　"),"","フィラメントテープ")</f>
        <v>フィラメントテープ</v>
      </c>
      <c r="D449" s="208"/>
      <c r="E449" s="209"/>
      <c r="F449" s="222" t="str">
        <f>IF(OR(D415=0,D416="　"),"","L=((自由長+緊張部長)÷@1.0m)×テープ係数"&amp;IF(MID(D416,4,1)="5",_xlfn.IFS(1*MID(LEFT(D416, LEN(D416)-1),6,2)&lt;4,"0.8",1*MID(LEFT(D416, LEN(D416)-1),6,2)&lt;7,"1.0",1*MID(LEFT(D416, LEN(D416)-1),6,2)&lt;10,"1.2",1*MID(LEFT(D416, LEN(D416)-1),6,2)&lt;13,"1.4"),_xlfn.IFS(1*MID(LEFT(D416, LEN(D416)-1),6,2)&lt;4,"1.0",1*MID(LEFT(D416, LEN(D416)-1),6,2)&lt;7,"1.2",1*MID(LEFT(D416, LEN(D416)-1),6,2)&lt;10,"1.4",1*MID(LEFT(D416, LEN(D416)-1),6,2)&lt;15,"1.8")))</f>
        <v>L=((自由長+緊張部長)÷@1.0m)×テープ係数1.0</v>
      </c>
      <c r="G449" s="211"/>
      <c r="H449" s="212"/>
      <c r="I449" s="213" t="s">
        <v>12</v>
      </c>
      <c r="J449" s="223">
        <f>IF(OR(D415=0,D416="　"),"",MROUND((SUM(D425,D426))/1*RIGHT(F449, 3),0.1))</f>
        <v>5.5</v>
      </c>
      <c r="K449" s="214">
        <f>IFERROR(D415*J449,"")</f>
        <v>55</v>
      </c>
    </row>
    <row r="450" spans="2:11" ht="12" customHeight="1">
      <c r="B450" s="206" t="s">
        <v>0</v>
      </c>
      <c r="C450" s="207" t="str">
        <f>IF(OR(D415=0,D416="　"),"","16/20、高密度ポリエチレン")</f>
        <v>16/20、高密度ポリエチレン</v>
      </c>
      <c r="D450" s="208"/>
      <c r="E450" s="209"/>
      <c r="F450" s="210" t="s">
        <v>33</v>
      </c>
      <c r="G450" s="211"/>
      <c r="H450" s="212"/>
      <c r="I450" s="213" t="s">
        <v>12</v>
      </c>
      <c r="J450" s="214">
        <f>IF(OR(D415=0,D416="　"),"",MROUND(D428,0.1))</f>
        <v>9.7000000000000011</v>
      </c>
      <c r="K450" s="214">
        <f>IFERROR(D415*J450,"")</f>
        <v>97.000000000000014</v>
      </c>
    </row>
    <row r="451" spans="2:11" ht="12" customHeight="1">
      <c r="B451" s="206" t="str" cm="1">
        <f t="array" ref="B451">_xlfn.IFS(OR(D415=0,D416="　",MID(D419,1,2)="なし",MID(D419,1,3)="受圧体"),"",MID(D419,1,3)="のり面","のり面角度台座",MID(D419,1,3)="構造物","構造物壁面台座",MID(D419,1,3)="土留め","土留め台座")</f>
        <v>のり面角度台座</v>
      </c>
      <c r="C451" s="210" t="str" cm="1">
        <f t="array" ref="C451">IF(OR(D415=0,D416="　",MID(D419,1,2)="なし",MID(D419,1,3)="受圧体"),"",_xlfn.IFS(MID(D419,1,3)="のり面",IF(1*MID(D416,4,1)=5,_xlfn.IFS(1*MID(LEFT(D416, LEN(D416)-1),6,2)&lt;5,"ST140",1*MID(LEFT(D416, LEN(D416)-1),6,2)&lt;8,"ST170",1*MID(LEFT(D416, LEN(D416)-1),6,2)&lt;13,"ST220"),_xlfn.IFS(1*MID(LEFT(D416, LEN(D416)-1),6,2)&lt;4,"ST140",1*MID(LEFT(D416, LEN(D416)-1),6,2)&lt;5,"ST170",1*MID(LEFT(D416, LEN(D416)-1),6,2)&lt;8,"ST220",1*MID(LEFT(D416, LEN(D416)-1),6,2)&lt;15,"非該当"))&amp;"、FCD450相当、防食："&amp;_xlfn.IFS(MID(D417,1,3)="防食Ⅱ","HDZT77めっき",MID(D417,5,2)="塩害","ｱﾙﾐﾅｲｽﾞ処理",MID(D417,5,2)="酸性","重防食処理"),OR(MID(D419,1,3)="構造物",MID(D419,1,3)="土留め"),D416&amp;"用"&amp;IF(OR(MID(D419,1,3)="構造物",D420="　"),"",D420)&amp;"、防食："&amp;_xlfn.IFS(MID(D417,1,3)="防食Ⅱ","HDZT77めっき",MID(D417,5,2)="塩害","ｱﾙﾐﾅｲｽﾞ処理",MID(D417,5,2)="酸性","重防食処理")))</f>
        <v>ST140、FCD450相当、防食：HDZT77めっき</v>
      </c>
      <c r="D451" s="208"/>
      <c r="E451" s="209"/>
      <c r="F451" s="217" t="str">
        <f>IF(OR(D419="なし",D419="受圧体のみ"),"","n=1")</f>
        <v>n=1</v>
      </c>
      <c r="G451" s="218"/>
      <c r="H451" s="219"/>
      <c r="I451" s="213" t="str">
        <f>IF(OR(D415=0,D416="　",B451=""),"","台")</f>
        <v>台</v>
      </c>
      <c r="J451" s="220" t="str">
        <f>IF(OR(D415=0,D416="　"),"",MID(F451,3,2))</f>
        <v>1</v>
      </c>
      <c r="K451" s="214">
        <f>IFERROR(D415*J451,"")</f>
        <v>10</v>
      </c>
    </row>
    <row r="452" spans="2:11" ht="12" customHeight="1">
      <c r="B452" s="206" t="str">
        <f>IF(OR(D415=0,D416="　",MID(D419,1,3)&lt;&gt;"のり面"),"","補剛板")</f>
        <v>補剛板</v>
      </c>
      <c r="C452" s="210" t="str" cm="1">
        <f t="array" ref="C452">IF(OR(D415=0,D416="　",MID(D419,1,3)&lt;&gt;"のり面"),"",IF(MID(D416,4,1)="5","□"&amp;_xlfn.SWITCH(1*MID(LEFT(D416, LEN(D416)-1),6,2),1,"210φ131t12",2,"210φ131t12",3,"240φ131t12",4,"270φ131t12",5,"280φ143t12",6,"310φ143t16",7,"350φ143t19",8,"350φ180t19",9,"350φ180t19",10,"350φ180t19",11,"350φ180t22",12,"350φ180t22"),"□"&amp;_xlfn.SWITCH(1*MID(LEFT(D416, LEN(D416)-1),6,2),1,"210,φ131,t12",2,"240,φ131,t12",3,"270,φ131,t16",4,"300,φ143,t16",5,"350,φ180,t16",6,"350,φ180,t16",7,"350,φ180,t19",8,"400,φ──,t12",9,"400,φ──,t12",10,"400,φ──,t12",11,"400,φ──,t12",12,"400,φ──,t12",13,"400,φ──,t12",14,"400,φ──,t12"))&amp;"、SS400相当、防食："&amp;_xlfn.IFS(MID(D417,1,3)="防食Ⅱ","HDZT77めっき",MID(D417,5,2)="塩害","ｱﾙﾐﾅｲｽﾞ処理",MID(D417,5,2)="酸性","重防食処理"))</f>
        <v>□270φ131t12、SS400相当、防食：HDZT77めっき</v>
      </c>
      <c r="D452" s="208"/>
      <c r="E452" s="209"/>
      <c r="F452" s="217" t="str">
        <f>IF(OR(D415=0,D416="　",MID(D419,1,3)&lt;&gt;"のり面"),"","n=1")</f>
        <v>n=1</v>
      </c>
      <c r="G452" s="218"/>
      <c r="H452" s="219"/>
      <c r="I452" s="213" t="str">
        <f>IF(OR(D415=0,D416="　",B452="",MID(D419,1,3)&lt;&gt;"のり面"),"","枚")</f>
        <v>枚</v>
      </c>
      <c r="J452" s="220" t="str">
        <f>IF(OR(D415=0,D416="　"),"",MID(F452,3,2))</f>
        <v>1</v>
      </c>
      <c r="K452" s="214">
        <f>IFERROR(D415*J452,"")</f>
        <v>10</v>
      </c>
    </row>
    <row r="453" spans="2:11" ht="12" customHeight="1">
      <c r="B453" s="206" t="str" cm="1">
        <f t="array" ref="B453">_xlfn.IFS(OR(D415=0,D416="　"),"",MID(D418,1,3)="アルミ","",MID(D418,1,3)&lt;&gt;"アルミ","テンドン補修用塗料")</f>
        <v>テンドン補修用塗料</v>
      </c>
      <c r="C453" s="210" t="str" cm="1">
        <f t="array" ref="C453">_xlfn.IFS(OR(D415=0,D416="　"),"",MID(D418,1,3)="アルミ","",MID(D418,1,3)&lt;&gt;"アルミ","エポキシ樹脂")</f>
        <v>エポキシ樹脂</v>
      </c>
      <c r="D453" s="208"/>
      <c r="E453" s="209"/>
      <c r="F453" s="217" t="str" cm="1">
        <f t="array" ref="F453">_xlfn.IFS(OR(D415=0,D416="　"),"",MID(D418,1,3)="アルミ","",MID(D418,1,3)&lt;&gt;"アルミ","W=PC鋼より線本数×"&amp;IF(MID(D416,4,1)="5","0.28","0.40"))</f>
        <v>W=PC鋼より線本数×0.28</v>
      </c>
      <c r="G453" s="218"/>
      <c r="H453" s="219"/>
      <c r="I453" s="213" t="str" cm="1">
        <f t="array" ref="I453">_xlfn.IFS(OR(D415=0,D416="　"),"",MID(D418,1,3)="アルミ","",MID(D418,1,3)&lt;&gt;"アルミ","g")</f>
        <v>g</v>
      </c>
      <c r="J453" s="224" cm="1">
        <f t="array" ref="J453">_xlfn.IFS(OR(D415=0,D416="　"),"",MID(D418,1,3)="アルミ","",MID(D418,1,3)&lt;&gt;"アルミ",MID(LEFT(D416, LEN(D416)-1),6,2)*IF(MID(D416,4,1)="5",0.28,0.4))</f>
        <v>1.1200000000000001</v>
      </c>
      <c r="K453" s="214">
        <f>IFERROR(D415*J453,"")</f>
        <v>11.200000000000001</v>
      </c>
    </row>
    <row r="454" spans="2:11" ht="12" customHeight="1">
      <c r="B454" s="206" t="str" cm="1">
        <f t="array" ref="B454">_xlfn.IFS(OR(D415=0,D416="　"),"",MID(D418,1,3)="アルミ","",MID(D418,1,3)&lt;&gt;"アルミ","長期防錆スプレー")</f>
        <v>長期防錆スプレー</v>
      </c>
      <c r="C454" s="210" t="str" cm="1">
        <f t="array" ref="C454">_xlfn.IFS(OR(D415=0,D416="　"),"",MID(D418,1,3)="アルミ","",MID(D418,1,3)&lt;&gt;"アルミ","防錆オイル")</f>
        <v>防錆オイル</v>
      </c>
      <c r="D454" s="208"/>
      <c r="E454" s="209"/>
      <c r="F454" s="217" t="str" cm="1">
        <f t="array" ref="F454">_xlfn.IFS(OR(D415=0,D416="　"),"",MID(D418,1,3)="アルミ","",MID(D418,1,3)&lt;&gt;"アルミ","n=0.01×(PC鋼より線本数+"&amp;IF(MID(D416,4,1)="5","6","12")&amp;")")</f>
        <v>n=0.01×(PC鋼より線本数+6)</v>
      </c>
      <c r="G454" s="218"/>
      <c r="H454" s="219"/>
      <c r="I454" s="213" t="str" cm="1">
        <f t="array" ref="I454">_xlfn.IFS(OR(D415=0,D416="　"),"",MID(D418,1,3)="アルミ","",MID(D418,1,3)&lt;&gt;"アルミ","缶")</f>
        <v>缶</v>
      </c>
      <c r="J454" s="224" cm="1">
        <f t="array" ref="J454">_xlfn.IFS(OR(D415=0,D416="　"),"",MID(D418,1,3)="アルミ","",MID(D418,1,3)&lt;&gt;"アルミ",0.01*(MID(LEFT(D416, LEN(D416)-1),6,2)+IF(MID(D416,4,1)="5",6,12)))</f>
        <v>0.1</v>
      </c>
      <c r="K454" s="214">
        <f>IFERROR(D415*J454,"")</f>
        <v>1</v>
      </c>
    </row>
    <row r="455" spans="2:11" ht="12" customHeight="1">
      <c r="B455" s="206" t="str">
        <f>IF(OR(D415=0,D416="　",D421="なし"),"","フリーパッカー注入ホース")</f>
        <v/>
      </c>
      <c r="C455" s="207" t="str">
        <f>IF(OR(D415=0,D416="　",B455=""),"","16/20、高密度ポリエチレン")</f>
        <v/>
      </c>
      <c r="D455" s="208"/>
      <c r="E455" s="209"/>
      <c r="F455" s="210" t="str">
        <f>IF(B455="","","L=自由長+緊張部長")</f>
        <v/>
      </c>
      <c r="G455" s="211"/>
      <c r="H455" s="212"/>
      <c r="I455" s="213" t="str">
        <f>IF(OR(D415=0,D416="　",B455=""),"","m")</f>
        <v/>
      </c>
      <c r="J455" s="214" t="str">
        <f>IF(OR(D415=0,D416="　"),"",IF(B455="","",MROUND(D425+D426,0.1)))</f>
        <v/>
      </c>
      <c r="K455" s="214" t="str">
        <f>IFERROR(D415*J455,"")</f>
        <v/>
      </c>
    </row>
    <row r="456" spans="2:11" ht="12" customHeight="1">
      <c r="B456" s="225" t="str">
        <f>IF(OR(D415=0,D416="　",D421="なし"),"","フリーパッカー")</f>
        <v/>
      </c>
      <c r="C456" s="217" t="str" cm="1">
        <f t="array" ref="C456">IF(OR(D415=0,D416="　",B455=""),"",_xlfn.SWITCH(D430,90,"PA-170",115,"PA-200",135,"PA-240",146,"PA-240",165,"PA-350")&amp;"、織布")</f>
        <v/>
      </c>
      <c r="D456" s="208"/>
      <c r="E456" s="209"/>
      <c r="F456" s="226" t="str">
        <f>IF(B456="","","L=自由長+0.5m")</f>
        <v/>
      </c>
      <c r="G456" s="227"/>
      <c r="H456" s="228"/>
      <c r="I456" s="213" t="str">
        <f>IF(OR(D416=0,D417="　",B456=""),"","m")</f>
        <v/>
      </c>
      <c r="J456" s="214" t="str">
        <f>IF(OR(D415=0,D416="　"),"",IF(B456="","",MROUND(D425+0.5,0.1)))</f>
        <v/>
      </c>
      <c r="K456" s="214" t="str">
        <f>IFERROR(D415*J456,"")</f>
        <v/>
      </c>
    </row>
    <row r="457" spans="2:11" ht="12" customHeight="1">
      <c r="B457" s="206" t="str">
        <f>IF(OR(D415=0,D416="　",D421="なし"),"","パッカー取付加工")</f>
        <v/>
      </c>
      <c r="C457" s="207"/>
      <c r="D457" s="208"/>
      <c r="E457" s="209"/>
      <c r="F457" s="217" t="str">
        <f>IF(B457="","","n=1")</f>
        <v/>
      </c>
      <c r="G457" s="218"/>
      <c r="H457" s="219"/>
      <c r="I457" s="213" t="str">
        <f>IF(OR(D417=0,D418="　",B457=""),"","式")</f>
        <v/>
      </c>
      <c r="J457" s="220" t="str">
        <f>IF(OR(D415=0,D416="　"),"",MID(F457,3,2))</f>
        <v/>
      </c>
      <c r="K457" s="206" t="str">
        <f>IFERROR(D415*J457,"")</f>
        <v/>
      </c>
    </row>
    <row r="458" spans="2:11" ht="12" customHeight="1">
      <c r="B458" s="229"/>
      <c r="C458" s="230"/>
      <c r="D458" s="231"/>
      <c r="E458" s="232"/>
      <c r="F458" s="233"/>
      <c r="G458" s="234"/>
      <c r="H458" s="235"/>
      <c r="I458" s="236"/>
      <c r="J458" s="237"/>
      <c r="K458" s="229"/>
    </row>
    <row r="459" spans="2:11" ht="12" customHeight="1">
      <c r="B459" s="238" t="s">
        <v>30</v>
      </c>
      <c r="C459" s="239" t="s">
        <v>31</v>
      </c>
      <c r="D459" s="240"/>
      <c r="E459" s="241"/>
      <c r="F459" s="242" t="s">
        <v>157</v>
      </c>
      <c r="G459" s="243"/>
      <c r="H459" s="244"/>
      <c r="I459" s="245" t="s">
        <v>55</v>
      </c>
      <c r="J459" s="246">
        <f>IFERROR(MROUND(0.25*PI()*(0.001*D430)^2*(D423+D424+D429)*(1+2.2),0.01),"")</f>
        <v>0.17</v>
      </c>
      <c r="K459" s="246">
        <f>IFERROR(D415*J459,"")</f>
        <v>1.7000000000000002</v>
      </c>
    </row>
    <row r="461" spans="2:11" ht="12" customHeight="1">
      <c r="B461" s="247" t="s">
        <v>136</v>
      </c>
      <c r="C461" s="247"/>
      <c r="D461" s="247"/>
      <c r="F461" s="163"/>
      <c r="G461" s="164"/>
      <c r="H461" s="164"/>
    </row>
    <row r="462" spans="2:11" ht="12" customHeight="1">
      <c r="B462" s="15" t="s">
        <v>111</v>
      </c>
      <c r="C462" s="15"/>
      <c r="D462" s="1"/>
      <c r="E462" s="1"/>
      <c r="H462" s="119"/>
      <c r="J462" s="118"/>
    </row>
    <row r="463" spans="2:11" ht="12" customHeight="1">
      <c r="B463" s="165" t="s">
        <v>166</v>
      </c>
      <c r="C463" s="3"/>
      <c r="D463" s="1"/>
      <c r="E463" s="1"/>
      <c r="F463" s="8"/>
      <c r="G463" s="8"/>
      <c r="H463" s="102"/>
      <c r="I463" s="28"/>
      <c r="J463" s="118"/>
    </row>
    <row r="464" spans="2:11" ht="12" customHeight="1">
      <c r="B464" s="15" t="s">
        <v>40</v>
      </c>
      <c r="C464" s="3"/>
      <c r="D464" s="1"/>
      <c r="E464" s="1"/>
      <c r="F464" s="15" t="s">
        <v>54</v>
      </c>
      <c r="G464" s="15"/>
      <c r="H464" s="102"/>
      <c r="I464" s="28"/>
    </row>
    <row r="465" spans="2:11" ht="12" customHeight="1">
      <c r="B465" s="2" t="s">
        <v>53</v>
      </c>
      <c r="C465" s="2" t="s">
        <v>21</v>
      </c>
      <c r="D465" s="2" t="s">
        <v>22</v>
      </c>
      <c r="E465" s="17"/>
      <c r="F465" s="49" t="s">
        <v>41</v>
      </c>
      <c r="G465" s="97" t="s">
        <v>59</v>
      </c>
      <c r="H465" s="49" t="s">
        <v>44</v>
      </c>
      <c r="I465" s="2" t="s">
        <v>21</v>
      </c>
      <c r="J465" s="49" t="s">
        <v>138</v>
      </c>
      <c r="K465" s="2" t="s">
        <v>28</v>
      </c>
    </row>
    <row r="466" spans="2:11" ht="12" customHeight="1">
      <c r="B466" s="166" t="s">
        <v>25</v>
      </c>
      <c r="C466" s="18" t="s">
        <v>24</v>
      </c>
      <c r="D466" s="167">
        <v>10</v>
      </c>
      <c r="E466" s="19"/>
      <c r="F466" s="168" t="s">
        <v>43</v>
      </c>
      <c r="G466" s="169" t="s">
        <v>113</v>
      </c>
      <c r="H466" s="88" t="str" cm="1">
        <f t="array" ref="H466">_xlfn.IFS(AND(F466&lt;&gt;"非削孔",F466&lt;&gt;"無設定"),D481,F466="非削孔",IF(MID(D470,1,3)="土留め","非削孔","箱抜き"),F466="無設定","無設定")</f>
        <v>箱抜き</v>
      </c>
      <c r="I466" s="23" t="str">
        <f>IF(F466="無設定","","m")</f>
        <v>m</v>
      </c>
      <c r="J466" s="170">
        <v>0.5</v>
      </c>
      <c r="K466" s="30">
        <f>D466*J466</f>
        <v>5</v>
      </c>
    </row>
    <row r="467" spans="2:11" ht="12" customHeight="1">
      <c r="B467" s="171" t="s">
        <v>37</v>
      </c>
      <c r="C467" s="50" t="s">
        <v>38</v>
      </c>
      <c r="D467" s="172" t="s">
        <v>159</v>
      </c>
      <c r="E467" s="173"/>
      <c r="F467" s="174" t="s">
        <v>49</v>
      </c>
      <c r="G467" s="169" t="s">
        <v>114</v>
      </c>
      <c r="H467" s="88" cm="1">
        <f t="array" ref="H467">_xlfn.IFS(AND(F467&lt;&gt;"非削孔",F467&lt;&gt;"無設定"),D481,F467="非削孔","箱抜き",F467="無設定","無設定")</f>
        <v>90</v>
      </c>
      <c r="I467" s="23" t="str">
        <f t="shared" ref="I467:I475" si="18">IF(F467="無設定","","m")</f>
        <v>m</v>
      </c>
      <c r="J467" s="170">
        <v>2.64</v>
      </c>
      <c r="K467" s="30">
        <f>D466*J467</f>
        <v>26.400000000000002</v>
      </c>
    </row>
    <row r="468" spans="2:11" ht="12" customHeight="1">
      <c r="B468" s="52" t="s">
        <v>39</v>
      </c>
      <c r="C468" s="91" t="s">
        <v>38</v>
      </c>
      <c r="D468" s="175" t="s">
        <v>60</v>
      </c>
      <c r="E468" s="140"/>
      <c r="F468" s="174" t="s">
        <v>49</v>
      </c>
      <c r="G468" s="169" t="s">
        <v>115</v>
      </c>
      <c r="H468" s="88" cm="1">
        <f t="array" ref="H468">_xlfn.IFS(AND(F468&lt;&gt;"非削孔",F468&lt;&gt;"無設定"),D481,F468="非削孔","箱抜き",F468="無設定","無設定")</f>
        <v>90</v>
      </c>
      <c r="I468" s="23" t="str">
        <f t="shared" si="18"/>
        <v>m</v>
      </c>
      <c r="J468" s="170">
        <v>5.36</v>
      </c>
      <c r="K468" s="30">
        <f>D466*J468</f>
        <v>53.6</v>
      </c>
    </row>
    <row r="469" spans="2:11" ht="12" customHeight="1">
      <c r="B469" s="147" t="s">
        <v>140</v>
      </c>
      <c r="C469" s="91" t="s">
        <v>38</v>
      </c>
      <c r="D469" s="176" t="s">
        <v>141</v>
      </c>
      <c r="E469" s="141"/>
      <c r="F469" s="174" t="s">
        <v>48</v>
      </c>
      <c r="G469" s="169"/>
      <c r="H469" s="88" t="str" cm="1">
        <f t="array" ref="H469">_xlfn.IFS(AND(F469&lt;&gt;"非削孔",F469&lt;&gt;"無設定"),D481,F469="非削孔","箱抜き",F469="無設定","無設定")</f>
        <v>無設定</v>
      </c>
      <c r="I469" s="23" t="str">
        <f t="shared" si="18"/>
        <v/>
      </c>
      <c r="J469" s="170">
        <v>0</v>
      </c>
      <c r="K469" s="30">
        <f>D466*J469</f>
        <v>0</v>
      </c>
    </row>
    <row r="470" spans="2:11" ht="12" customHeight="1">
      <c r="B470" s="147" t="s">
        <v>142</v>
      </c>
      <c r="C470" s="91" t="s">
        <v>38</v>
      </c>
      <c r="D470" s="177" t="s">
        <v>160</v>
      </c>
      <c r="E470" s="21"/>
      <c r="F470" s="174" t="s">
        <v>48</v>
      </c>
      <c r="G470" s="169"/>
      <c r="H470" s="88" t="str" cm="1">
        <f t="array" ref="H470">_xlfn.IFS(AND(F470&lt;&gt;"非削孔",F470&lt;&gt;"無設定"),D481,F470="非削孔","箱抜き",F470="無設定","無設定")</f>
        <v>無設定</v>
      </c>
      <c r="I470" s="23" t="str">
        <f t="shared" si="18"/>
        <v/>
      </c>
      <c r="J470" s="170">
        <v>0</v>
      </c>
      <c r="K470" s="30">
        <f>D466*J470</f>
        <v>0</v>
      </c>
    </row>
    <row r="471" spans="2:11" ht="12" customHeight="1">
      <c r="B471" s="114" t="str">
        <f>IF(MID(D470,1,3)="土留め",D470&amp;"の種類","")</f>
        <v/>
      </c>
      <c r="C471" s="91" t="s">
        <v>38</v>
      </c>
      <c r="D471" s="178" t="s">
        <v>71</v>
      </c>
      <c r="E471" s="21"/>
      <c r="F471" s="174" t="s">
        <v>48</v>
      </c>
      <c r="G471" s="169"/>
      <c r="H471" s="88" t="str" cm="1">
        <f t="array" ref="H471">_xlfn.IFS(AND(F471&lt;&gt;"非削孔",F471&lt;&gt;"無設定"),D481,F471="非削孔","箱抜き",F471="無設定","無設定")</f>
        <v>無設定</v>
      </c>
      <c r="I471" s="23" t="str">
        <f t="shared" si="18"/>
        <v/>
      </c>
      <c r="J471" s="170">
        <v>0</v>
      </c>
      <c r="K471" s="30">
        <f>D466*J471</f>
        <v>0</v>
      </c>
    </row>
    <row r="472" spans="2:11" ht="12" customHeight="1">
      <c r="B472" s="179" t="s">
        <v>50</v>
      </c>
      <c r="C472" s="180" t="s">
        <v>38</v>
      </c>
      <c r="D472" s="181" t="s">
        <v>51</v>
      </c>
      <c r="E472" s="182"/>
      <c r="F472" s="174" t="s">
        <v>48</v>
      </c>
      <c r="G472" s="169"/>
      <c r="H472" s="88" t="str" cm="1">
        <f t="array" ref="H472">_xlfn.IFS(AND(F472&lt;&gt;"非削孔",F472&lt;&gt;"無設定"),D481,F472="非削孔","箱抜き",F472="無設定","無設定")</f>
        <v>無設定</v>
      </c>
      <c r="I472" s="23" t="str">
        <f t="shared" si="18"/>
        <v/>
      </c>
      <c r="J472" s="170">
        <v>0</v>
      </c>
      <c r="K472" s="30">
        <f>D466*J472</f>
        <v>0</v>
      </c>
    </row>
    <row r="473" spans="2:11" ht="12" customHeight="1">
      <c r="B473" s="160" t="str" cm="1">
        <f t="array" ref="B473">"頭部自由長"&amp;_xlfn.IFS(MID(D470,1,2)="なし","",MID(D470,1,3)="受圧体","(受圧体)",MID(D470,1,3)="のり面","(角度台座＋受圧体)",MID(D470,1,3)="構造物","(壁面台座)",MID(D470,1,3)="土留め","(台座+腹起し)")&amp;"　Lfh"</f>
        <v>頭部自由長(角度台座＋受圧体)　Lfh</v>
      </c>
      <c r="C473" s="155" t="s">
        <v>23</v>
      </c>
      <c r="D473" s="183">
        <v>0.5</v>
      </c>
      <c r="E473" s="21"/>
      <c r="F473" s="174" t="s">
        <v>144</v>
      </c>
      <c r="G473" s="169"/>
      <c r="H473" s="88" cm="1">
        <f t="array" ref="H473">_xlfn.IFS(AND(F473&lt;&gt;"非削孔",F473&lt;&gt;"無設定"),D481,F473="非削孔","箱抜き",F473="無設定","無設定")</f>
        <v>90</v>
      </c>
      <c r="I473" s="23" t="str">
        <f t="shared" si="18"/>
        <v>m</v>
      </c>
      <c r="J473" s="170">
        <v>0</v>
      </c>
      <c r="K473" s="30">
        <f>D466*J473</f>
        <v>0</v>
      </c>
    </row>
    <row r="474" spans="2:11" ht="12" customHeight="1">
      <c r="B474" s="22" t="s">
        <v>108</v>
      </c>
      <c r="C474" s="23" t="s">
        <v>23</v>
      </c>
      <c r="D474" s="184">
        <v>4</v>
      </c>
      <c r="E474" s="21"/>
      <c r="F474" s="174" t="s">
        <v>48</v>
      </c>
      <c r="G474" s="169"/>
      <c r="H474" s="88" t="str" cm="1">
        <f t="array" ref="H474">_xlfn.IFS(AND(F474&lt;&gt;"非削孔",F474&lt;&gt;"無設定"),D481,F474="非削孔","箱抜き",F474="無設定","無設定")</f>
        <v>無設定</v>
      </c>
      <c r="I474" s="23" t="str">
        <f t="shared" si="18"/>
        <v/>
      </c>
      <c r="J474" s="170">
        <v>0</v>
      </c>
      <c r="K474" s="30">
        <f>D466*J474</f>
        <v>0</v>
      </c>
    </row>
    <row r="475" spans="2:11" ht="12" customHeight="1">
      <c r="B475" s="157" t="s">
        <v>36</v>
      </c>
      <c r="C475" s="158" t="s">
        <v>23</v>
      </c>
      <c r="D475" s="185">
        <v>4</v>
      </c>
      <c r="F475" s="186" t="str" cm="1">
        <f t="array" ref="F475">INDEX(F466:H474,MATCH("無設定",F466:F474,0)-1,MATCH(F465,F465:H465,0))</f>
        <v>軟　岩</v>
      </c>
      <c r="G475" s="100" t="str" cm="1">
        <f t="array" ref="G475">INDEX(F466:H474,MATCH("無設定",F466:F474,0)-1,MATCH(G465,F465:H465,0))&amp;"　(先端長 L2d)"</f>
        <v>風化岩 CL　(先端長 L2d)</v>
      </c>
      <c r="H475" s="88" cm="1">
        <f t="array" ref="H475">INDEX(F466:H474,MATCH("無設定",F466:F474,0)-1,MATCH(H465,F465:H465,0))</f>
        <v>90</v>
      </c>
      <c r="I475" s="23" t="str">
        <f t="shared" si="18"/>
        <v>m</v>
      </c>
      <c r="J475" s="98">
        <f>D480</f>
        <v>0.25</v>
      </c>
      <c r="K475" s="78">
        <f>IFERROR(D466*J475,"")</f>
        <v>2.5</v>
      </c>
    </row>
    <row r="476" spans="2:11" ht="12" customHeight="1">
      <c r="B476" s="154" t="s">
        <v>145</v>
      </c>
      <c r="C476" s="155" t="s">
        <v>23</v>
      </c>
      <c r="D476" s="187">
        <f>IF(OR(D466=0,D467="　"),"──",SUM(D473:D474))</f>
        <v>4.5</v>
      </c>
      <c r="E476" s="19"/>
      <c r="F476" s="188"/>
      <c r="G476" s="75" t="s">
        <v>124</v>
      </c>
      <c r="H476" s="103"/>
      <c r="I476" s="18" t="s">
        <v>23</v>
      </c>
      <c r="J476" s="74">
        <f>SUMIFS(J466:J475,F466:F475,"&lt;&gt;非削孔",F466:F475,"&lt;&gt;無設定")</f>
        <v>8.25</v>
      </c>
      <c r="K476" s="95">
        <f>SUMIFS(K466:K475,F466:F475,"&lt;&gt;非削孔",F466:F475,"&lt;&gt;無設定")</f>
        <v>82.5</v>
      </c>
    </row>
    <row r="477" spans="2:11" ht="12" customHeight="1">
      <c r="B477" s="146" t="s">
        <v>146</v>
      </c>
      <c r="C477" s="23" t="s">
        <v>23</v>
      </c>
      <c r="D477" s="189" cm="1">
        <f t="array" ref="D477">IF(OR(D466=0,D467="　"),"──",IF(MID(D467,4,1)="5",_xlfn.IFS(1*MID(LEFT(D467, LEN(D467)-1),6,2)&lt;8,1,1*MID(LEFT(D467, LEN(D467)-1),6,2)&lt;13,1.2),_xlfn.IFS(1*MID(LEFT(D467, LEN(D467)-1),6,2)&lt;6,1,1*MID(LEFT(D467, LEN(D467)-1),6,2)&lt;15,1.2)))</f>
        <v>1</v>
      </c>
      <c r="E477" s="19"/>
      <c r="F477" s="190"/>
      <c r="G477" s="76" t="s">
        <v>47</v>
      </c>
      <c r="H477" s="104"/>
      <c r="I477" s="79" t="s">
        <v>46</v>
      </c>
      <c r="J477" s="77" t="str">
        <f>IF(OR(D466=0,D467="　"),"",IF(SUM(D474:D475,D480)=J476,"OK","NG"))</f>
        <v>OK</v>
      </c>
      <c r="K477" s="145" t="str">
        <f>IF(J477&lt;&gt;"NG","──",J476-SUM(D474:D475,D480))</f>
        <v>──</v>
      </c>
    </row>
    <row r="478" spans="2:11" ht="12" customHeight="1">
      <c r="B478" s="22" t="s">
        <v>125</v>
      </c>
      <c r="C478" s="23" t="s">
        <v>35</v>
      </c>
      <c r="D478" s="84">
        <f>IF(OR(D466=0,D467="　"),"──",0.2)</f>
        <v>0.2</v>
      </c>
      <c r="F478" s="191" t="s">
        <v>58</v>
      </c>
      <c r="G478" s="248" t="s">
        <v>110</v>
      </c>
      <c r="H478" s="249"/>
      <c r="I478" s="249"/>
      <c r="J478" s="249"/>
      <c r="K478" s="250"/>
    </row>
    <row r="479" spans="2:11" ht="12" customHeight="1">
      <c r="B479" s="6" t="s">
        <v>147</v>
      </c>
      <c r="C479" s="23" t="s">
        <v>23</v>
      </c>
      <c r="D479" s="60">
        <f>IF(OR(D466=0,D467="　"),"──",SUM(D475:D478))</f>
        <v>9.6999999999999993</v>
      </c>
    </row>
    <row r="480" spans="2:11" ht="12" customHeight="1">
      <c r="B480" s="25" t="s">
        <v>127</v>
      </c>
      <c r="C480" s="26" t="s">
        <v>23</v>
      </c>
      <c r="D480" s="27">
        <f>IF(OR(D466=0,D467="　"),"──",0.25)</f>
        <v>0.25</v>
      </c>
      <c r="F480" s="8"/>
      <c r="G480" s="8"/>
      <c r="H480" s="102"/>
    </row>
    <row r="481" spans="2:11" ht="12" customHeight="1">
      <c r="B481" s="95" t="s">
        <v>123</v>
      </c>
      <c r="C481" s="18" t="s">
        <v>32</v>
      </c>
      <c r="D481" s="192">
        <v>90</v>
      </c>
      <c r="E481" s="193" t="str">
        <f>IF(D481&lt;D482,"NG：削孔径不適合","")</f>
        <v/>
      </c>
      <c r="F481" s="8"/>
      <c r="G481" s="8"/>
      <c r="H481" s="102"/>
    </row>
    <row r="482" spans="2:11" ht="12" customHeight="1">
      <c r="B482" s="25" t="s">
        <v>122</v>
      </c>
      <c r="C482" s="26" t="s">
        <v>32</v>
      </c>
      <c r="D482" s="194" cm="1">
        <f t="array" ref="D482">IF(OR(D466=0,D467="　"),"──",IF(D472="なし",IF(MID(D467,4,1)="5",_xlfn.IFS(1*MID(LEFT(D467, LEN(D467)-1),6,2)&lt;6,90,1*MID(LEFT(D467, LEN(D467)-1),6,2)&lt;9,115,1*MID(LEFT(D467, LEN(D467)-1),6,2)&gt;8,135),_xlfn.IFS(1*MID(LEFT(D467, LEN(D467)-1),6,2)&lt;4,90,1*MID(LEFT(D467, LEN(D467)-1),6,2)&lt;7,115,1*MID(LEFT(D467, LEN(D467)-1),6,2)&lt;10,135,1*MID(LEFT(D467, LEN(D467)-1),6,2)&lt;13,146,1*MID(LEFT(D467, LEN(D467)-1),6,2)&gt;12,165)),IF(MID(D467,4,1)="5",_xlfn.IFS(1*MID(LEFT(D467, LEN(D467)-1),6,2)&lt;3,90,1*MID(LEFT(D467, LEN(D467)-1),6,2)&lt;7,115,1*MID(LEFT(D467, LEN(D467)-1),6,2)&lt;9,135,1*MID(LEFT(D467, LEN(D467)-1),6,2)&gt;8,146),_xlfn.IFS(1*MID(LEFT(D467, LEN(D467)-1),6,2)&lt;3,90,1*MID(LEFT(D467, LEN(D467)-1),6,2)&lt;4,115,1*MID(LEFT(D467, LEN(D467)-1),6,2)&lt;6,135,1*MID(LEFT(D467, LEN(D467)-1),6,2)&lt;10,146,1*MID(LEFT(D467, LEN(D467)-1),6,2)&lt;13,165,1*MID(LEFT(D467, LEN(D467)-1),6,2)&gt;12,216))))</f>
        <v>90</v>
      </c>
      <c r="E482" s="195"/>
      <c r="F482" s="8"/>
      <c r="G482" s="8"/>
      <c r="H482" s="102"/>
    </row>
    <row r="483" spans="2:11" ht="12" customHeight="1">
      <c r="B483" s="20"/>
      <c r="C483" s="46"/>
      <c r="D483" s="117"/>
      <c r="F483" s="8"/>
      <c r="G483" s="8"/>
      <c r="H483" s="102"/>
    </row>
    <row r="484" spans="2:11" ht="12" customHeight="1">
      <c r="B484" s="15" t="str">
        <f>"■"&amp;MID(B461,2,14)</f>
        <v>■本設：EHDアンカーHP工法</v>
      </c>
      <c r="C484" s="3"/>
      <c r="D484" s="1"/>
      <c r="E484" s="1"/>
      <c r="F484" s="8"/>
      <c r="G484" s="8"/>
      <c r="H484" s="102"/>
    </row>
    <row r="485" spans="2:11" ht="12" customHeight="1">
      <c r="B485" s="2" t="s">
        <v>17</v>
      </c>
      <c r="C485" s="43"/>
      <c r="D485" s="196" t="s">
        <v>148</v>
      </c>
      <c r="E485" s="135"/>
      <c r="F485" s="16"/>
      <c r="G485" s="61" t="s">
        <v>42</v>
      </c>
      <c r="H485" s="97"/>
      <c r="I485" s="2" t="s">
        <v>21</v>
      </c>
      <c r="J485" s="49" t="s">
        <v>149</v>
      </c>
      <c r="K485" s="2" t="s">
        <v>28</v>
      </c>
    </row>
    <row r="486" spans="2:11" ht="12" customHeight="1">
      <c r="B486" s="197" t="s">
        <v>150</v>
      </c>
      <c r="C486" s="198" t="str">
        <f>IF(OR(D466=0,D467="　"),"",D467&amp;" ("&amp;MID(LEFT(D467, LEN(D467)-1),6,2)&amp;IF(MID(D467,4,1)="5","φ12.7","φ15.2")&amp;")")</f>
        <v>EHD5-4H (4φ12.7)</v>
      </c>
      <c r="D486" s="199"/>
      <c r="E486" s="200"/>
      <c r="F486" s="201" t="str">
        <f>"W=テンドン長×PC鋼より線本数×"&amp;IF(MID(D467,4,1)="5","0.774","1.101")&amp;"kg/m"</f>
        <v>W=テンドン長×PC鋼より線本数×0.774kg/m</v>
      </c>
      <c r="G486" s="202"/>
      <c r="H486" s="203"/>
      <c r="I486" s="204" t="s">
        <v>11</v>
      </c>
      <c r="J486" s="205">
        <f>IF(OR(D466=0,D467="　"),"",MROUND(D479*MID(LEFT(D467, LEN(D467)-1),6,2)*IF(MID(D467,4,1)="5","0.774","1.101"),0.01))</f>
        <v>30.03</v>
      </c>
      <c r="K486" s="205">
        <f>IFERROR(D466*J486,"")</f>
        <v>300.3</v>
      </c>
    </row>
    <row r="487" spans="2:11" ht="12" customHeight="1">
      <c r="B487" s="206" t="s">
        <v>151</v>
      </c>
      <c r="C487" s="207"/>
      <c r="D487" s="208"/>
      <c r="E487" s="209"/>
      <c r="F487" s="210" t="s">
        <v>33</v>
      </c>
      <c r="G487" s="211"/>
      <c r="H487" s="212"/>
      <c r="I487" s="213" t="s">
        <v>12</v>
      </c>
      <c r="J487" s="214">
        <f>IF(OR(D466=0,D467="　"),"",MROUND(D479,0.1))</f>
        <v>9.7000000000000011</v>
      </c>
      <c r="K487" s="214">
        <f>IFERROR(D466*J487,"")</f>
        <v>97.000000000000014</v>
      </c>
    </row>
    <row r="488" spans="2:11" ht="12" customHeight="1">
      <c r="B488" s="206" t="str">
        <f>"頭部キャップ"</f>
        <v>頭部キャップ</v>
      </c>
      <c r="C488" s="207" t="str" cm="1">
        <f t="array" ref="C488">IF(OR(D466=0,D467="　"),"",IF(MID(D467,4,1)="5",_xlfn.SWITCH(1*MID(LEFT(D467, LEN(D467)-1),6,2),1,"S",2,"S",3,"S",4,"S",5,"M",6,"M",7,"M",8,"L",9,"L",10,"L",11,"L",12,"L"),_xlfn.SWITCH(1*MID(LEFT(D467, LEN(D467)-1),6,2),1,"S",2,"S",3,"M",4,"M",5,"L",6,"L",7,"L",8,"LL",9,"LL",10,"LL",11,"LL",12,"LL",13,"LL",14,"LL"))&amp;"型"&amp;D469&amp;IF(OR(MID(D469,1,2)="透明",MID(D469,1,2)="5窓"),"、PC樹脂","")&amp;"、ｱﾙﾐAC4C相当"&amp;_xlfn.IFS(MID(D468,1,3)="防食Ⅱ","",MID(D468,5,2)="塩害","、防食：ﾀｹｺｰﾄ処理",MID(D468,5,2)="酸性","、防食：重防食処理"))</f>
        <v>S型透明キャップ、PC樹脂、ｱﾙﾐAC4C相当</v>
      </c>
      <c r="D488" s="215"/>
      <c r="E488" s="216"/>
      <c r="F488" s="217" t="str">
        <f t="shared" ref="F488:F494" si="19">"n=1"</f>
        <v>n=1</v>
      </c>
      <c r="G488" s="218"/>
      <c r="H488" s="219"/>
      <c r="I488" s="213" t="s">
        <v>13</v>
      </c>
      <c r="J488" s="220" t="str">
        <f>IF(OR(D466=0,D467="　"),"",MID(F488,3,2))</f>
        <v>1</v>
      </c>
      <c r="K488" s="214">
        <f>IFERROR(D466*J488,"")</f>
        <v>10</v>
      </c>
    </row>
    <row r="489" spans="2:11" ht="12" customHeight="1">
      <c r="B489" s="206" t="s">
        <v>5</v>
      </c>
      <c r="C489" s="207" t="str" cm="1">
        <f t="array" ref="C489">IF(OR(D466=0,D467="　"),"",IF(MID(D467,4,1)="5","G5"&amp;_xlfn.SWITCH(1*MID(LEFT(D467, LEN(D467)-1),6,2),1,"01",2,"02",3,"03",4,"04",5,"07",6,"07",7,"07",8,"09",9,"09",10,"12",11,"12",12,"12"),"G6"&amp;_xlfn.SWITCH(1*MID(LEFT(D467, LEN(D467)-1),6,2),1,"01",2,"02",3,"03",4,"04",5,"07",6,"07",7,"07",8,"09",9,"09",10,"12",11,"12",12,"12",13,"14",14,"14"))&amp;"、S45C相当"&amp;IF(MID(D469,1,3)&lt;&gt;"アルミ","、防食：無電解Niめっき",""))</f>
        <v>G504、S45C相当、防食：無電解Niめっき</v>
      </c>
      <c r="D489" s="208"/>
      <c r="E489" s="209"/>
      <c r="F489" s="217" t="str">
        <f t="shared" si="19"/>
        <v>n=1</v>
      </c>
      <c r="G489" s="218"/>
      <c r="H489" s="219"/>
      <c r="I489" s="213" t="s">
        <v>13</v>
      </c>
      <c r="J489" s="220" t="str">
        <f>IF(OR(D466=0,D467="　"),"",MID(F489,3,2))</f>
        <v>1</v>
      </c>
      <c r="K489" s="214">
        <f>IFERROR(D466*J489,"")</f>
        <v>10</v>
      </c>
    </row>
    <row r="490" spans="2:11" ht="12" customHeight="1">
      <c r="B490" s="206" t="s">
        <v>152</v>
      </c>
      <c r="C490" s="207" t="str" cm="1">
        <f t="array" ref="C490">IF(OR(D466=0,D467="　"),"",IF(MID(D467,4,1)="5","G5"&amp;_xlfn.SWITCH(1*MID(LEFT(D467, LEN(D467)-1),6,2),1,"01",2,"02",3,"03",4,"04",5,"07",6,"07",7,"07",8,"09",9,"09",10,"12",11,"12",12,"12"),"G6"&amp;_xlfn.SWITCH(1*MID(LEFT(D467, LEN(D467)-1),6,2),1,"01",2,"02",3,"03",4,"04",5,"07",6,"07",7,"07",8,"09",9,"09",10,"12",11,"12",12,"12",13,"14",14,"14"))&amp;"、S45C相当"&amp;IF(MID(D469,1,3)&lt;&gt;"アルミ","、防食：無電解Niめっき",""))</f>
        <v>G504、S45C相当、防食：無電解Niめっき</v>
      </c>
      <c r="D490" s="208"/>
      <c r="E490" s="209"/>
      <c r="F490" s="217" t="str">
        <f t="shared" si="19"/>
        <v>n=1</v>
      </c>
      <c r="G490" s="218"/>
      <c r="H490" s="219"/>
      <c r="I490" s="213" t="s">
        <v>13</v>
      </c>
      <c r="J490" s="220" t="str">
        <f>IF(OR(D466=0,D467="　"),"",MID(F490,3,2))</f>
        <v>1</v>
      </c>
      <c r="K490" s="214">
        <f>IFERROR(D466*J490,"")</f>
        <v>10</v>
      </c>
    </row>
    <row r="491" spans="2:11" ht="12" customHeight="1">
      <c r="B491" s="206" t="s">
        <v>7</v>
      </c>
      <c r="C491" s="207" t="str">
        <f>IF(OR(D466=0,D467="　"),"",IF(1*MID(D467,4,1)=5,"ECF12.7","ECF15.2")&amp;"、SCM415相当"&amp;IF(MID(D469,1,3)&lt;&gt;"アルミ","、防食：無電解Niめっき",""))</f>
        <v>ECF12.7、SCM415相当、防食：無電解Niめっき</v>
      </c>
      <c r="D491" s="208"/>
      <c r="E491" s="209"/>
      <c r="F491" s="217" t="str">
        <f t="shared" si="19"/>
        <v>n=1</v>
      </c>
      <c r="G491" s="218"/>
      <c r="H491" s="219"/>
      <c r="I491" s="213" t="s">
        <v>27</v>
      </c>
      <c r="J491" s="220" t="str">
        <f>IF(OR(D466=0,D467="　"),"",MID(F491,3,2))</f>
        <v>1</v>
      </c>
      <c r="K491" s="214">
        <f>IFERROR(D466*J491,"")</f>
        <v>10</v>
      </c>
    </row>
    <row r="492" spans="2:11" ht="12" customHeight="1">
      <c r="B492" s="206" t="s">
        <v>153</v>
      </c>
      <c r="C492" s="207" t="str" cm="1">
        <f t="array" ref="C492">IF(OR(D466=0,D467="　"),"",IF(MID(D467,4,1)="5","G5"&amp;_xlfn.SWITCH(1*MID(LEFT(D467, LEN(D467)-1),6,2),1,"01",2,"04",3,"03",4,"04",5,"07",6,"07",7,"07",8,"12",9,"12",10,"12",11,"12",12,"12"),"G6"&amp;_xlfn.SWITCH(1*MID(LEFT(D467, LEN(D467)-1),6,2),1,"01",2,"02",3,"03",4,"04",5,"07",6,"07",7,"07",8,"12",9,"12",10,"12",11,"12",12,"12",13,"14",14,"14"))&amp;"、SS400相当、防食："&amp;_xlfn.IFS(MID(D468,1,3)="防食Ⅱ","HDZT77めっき",MID(D468,5,2)="塩害","ｱﾙﾐﾅｲｽﾞ処理",MID(D468,5,2)="酸性","重防食処理"))</f>
        <v>G504、SS400相当、防食：HDZT77めっき</v>
      </c>
      <c r="D492" s="208"/>
      <c r="E492" s="209"/>
      <c r="F492" s="217" t="str">
        <f t="shared" si="19"/>
        <v>n=1</v>
      </c>
      <c r="G492" s="218"/>
      <c r="H492" s="219"/>
      <c r="I492" s="213" t="s">
        <v>16</v>
      </c>
      <c r="J492" s="220" t="str">
        <f>IF(OR(D466=0,D467="　"),"",MID(F492,3,2))</f>
        <v>1</v>
      </c>
      <c r="K492" s="214">
        <f>IFERROR(D466*J492,"")</f>
        <v>10</v>
      </c>
    </row>
    <row r="493" spans="2:11" ht="12" customHeight="1">
      <c r="B493" s="206" t="str">
        <f>IF(MID(D470,1,3)="のり面","管付","")&amp;"支圧板"</f>
        <v>管付支圧板</v>
      </c>
      <c r="C493" s="221" t="str" cm="1">
        <f t="array" ref="C493">IF(OR(D466=0,D467="　"),"","PL"&amp;IF(MID(D470,1,3)="のり面","P","")&amp;IF(MID(D467,4,1)="5","5-"&amp;_xlfn.SWITCH(1*MID(LEFT(D467, LEN(D467)-1),6,2),1,"1",2,"2",3,"3",4,"4",5,"5",6,"6",7,"7",8,"9",9,"9",10,"10",11,"11",12,"12"),"6-"&amp;_xlfn.SWITCH(1*MID(LEFT(D467, LEN(D467)-1),6,2),1,"1",2,"2",3,"3",4,"4",5,"6",6,"6",7,"7",8,"8",9,"9",10,"10",11,"11",12,"12",13,"14",14,"14"))&amp;"、SS400相当、防食："&amp;_xlfn.IFS(MID(D468,1,3)="防食Ⅱ","HDZT77めっき",MID(D468,5,2)="塩害","ｱﾙﾐﾅｲｽﾞ処理",MID(D468,5,2)="酸性","重防食処理"))</f>
        <v>PLP5-4、SS400相当、防食：HDZT77めっき</v>
      </c>
      <c r="D493" s="208"/>
      <c r="E493" s="209"/>
      <c r="F493" s="217" t="str">
        <f t="shared" si="19"/>
        <v>n=1</v>
      </c>
      <c r="G493" s="218"/>
      <c r="H493" s="219"/>
      <c r="I493" s="213" t="s">
        <v>16</v>
      </c>
      <c r="J493" s="220" t="str">
        <f>IF(OR(D466=0,D467="　"),"",MID(F493,3,2))</f>
        <v>1</v>
      </c>
      <c r="K493" s="214">
        <f>IFERROR(D466*J493,"")</f>
        <v>10</v>
      </c>
    </row>
    <row r="494" spans="2:11" ht="12" customHeight="1">
      <c r="B494" s="206" t="s">
        <v>154</v>
      </c>
      <c r="C494" s="207" t="str">
        <f>IF(OR(D466=0,D467="　"),"","G"&amp;MID(LEFT(D467, LEN(D467)-1),4,4)&amp;"、NBR45相当")</f>
        <v>G5-4、NBR45相当</v>
      </c>
      <c r="D494" s="208"/>
      <c r="E494" s="209"/>
      <c r="F494" s="217" t="str">
        <f t="shared" si="19"/>
        <v>n=1</v>
      </c>
      <c r="G494" s="218"/>
      <c r="H494" s="219"/>
      <c r="I494" s="213" t="s">
        <v>13</v>
      </c>
      <c r="J494" s="220" t="str">
        <f>IF(OR(D466=0,D467="　"),"",MID(F494,3,2))</f>
        <v>1</v>
      </c>
      <c r="K494" s="214">
        <f>IFERROR(D466*J494,"")</f>
        <v>10</v>
      </c>
    </row>
    <row r="495" spans="2:11" ht="12" customHeight="1">
      <c r="B495" s="206" t="str" cm="1">
        <f t="array" ref="B495">_xlfn.IFS(OR(D466=0,D467="　"),"",MID(D469,1,3)="アルミ","頭部防錆油",MID(D469,1,3)&lt;&gt;"アルミ","余長キャップ")</f>
        <v>余長キャップ</v>
      </c>
      <c r="C495" s="221" t="str" cm="1">
        <f t="array" ref="C495">_xlfn.IFS(OR(D466=0,D467="　"),"",MID(D469,1,3)="アルミ","PCコートC",MID(D469,1,3)&lt;&gt;"アルミ","TC"&amp;MID(D467,4,1)&amp;"、高密度ポチエチレン")</f>
        <v>TC5、高密度ポチエチレン</v>
      </c>
      <c r="D495" s="208"/>
      <c r="E495" s="209"/>
      <c r="F495" s="217" t="str" cm="1">
        <f t="array" ref="F495">_xlfn.IFS(OR(D466=0,D467="　"),"",MID(D469,1,3)="アルミ","W="&amp;IF(MID(D467,4,1)="5",_xlfn.SWITCH(1*MID(LEFT(D467, LEN(D467)-1),6,2),1,1.9,2,1.3,3,1.3,4,1.3,5,1.6,6,1.6,7,1.6,8,3.1,9,3.1,10,3.1,11,3.1,12,3.1),"G6"&amp;_xlfn.SWITCH(1*MID(LEFT(D467, LEN(D467)-1),6,2),1,1.8,2,1.3,3,1.8,4,1.8,5,3.3,6,3.3,7,3.3,8,9.9,9,9.9,10,9.9,11,9.9,12,9.9,13,9.9,14,9.9)),MID(D469,1,3)&lt;&gt;"アルミ","n=1")</f>
        <v>n=1</v>
      </c>
      <c r="G495" s="218"/>
      <c r="H495" s="219"/>
      <c r="I495" s="213" t="str" cm="1">
        <f t="array" ref="I495">_xlfn.IFS(OR(D466=0,D467="　"),"",MID(D469,1,3)="アルミ","kg",MID(D469,1,3)&lt;&gt;"アルミ","式")</f>
        <v>式</v>
      </c>
      <c r="J495" s="220" t="str">
        <f>IF(OR(D466=0,D467="　"),"",MID(F495,3,4))</f>
        <v>1</v>
      </c>
      <c r="K495" s="214">
        <f>IFERROR(D466*J495,"")</f>
        <v>10</v>
      </c>
    </row>
    <row r="496" spans="2:11" ht="12" customHeight="1">
      <c r="B496" s="206" t="s">
        <v>9</v>
      </c>
      <c r="C496" s="207" t="str" cm="1">
        <f t="array" ref="C496">IF(OR(D466=0,D467="　"),"",IF(MID(D467,4,1)="5","PS5-"&amp;_xlfn.SWITCH(1*MID(LEFT(D467, LEN(D467)-1),6,2),1,"7",2,"2",3,"3",4,"4",5,"7",6,"7",7,"7",8,"12",9,"12",10,"12",11,"12",12,"12"),"PS6-"&amp;_xlfn.SWITCH(1*MID(LEFT(D467, LEN(D467)-1),6,2),1,"7",2,"2",3,"3",4,"4",5,"7",6,"7",7,"7",8,"12",9,"12",10,"12",11,"12",12,"12",13,"14",14,"14"))&amp;"、高密度ポリエチレン")</f>
        <v>PS5-4、高密度ポリエチレン</v>
      </c>
      <c r="D496" s="208"/>
      <c r="E496" s="209"/>
      <c r="F496" s="217" t="str">
        <f>"n=2"</f>
        <v>n=2</v>
      </c>
      <c r="G496" s="218"/>
      <c r="H496" s="219"/>
      <c r="I496" s="213" t="s">
        <v>13</v>
      </c>
      <c r="J496" s="220" t="str">
        <f>IF(OR(D466=0,D467="　"),"",MID(F496,3,2))</f>
        <v>2</v>
      </c>
      <c r="K496" s="214">
        <f>IFERROR(D466*J496,"")</f>
        <v>20</v>
      </c>
    </row>
    <row r="497" spans="2:11" ht="12" customHeight="1">
      <c r="B497" s="206" t="s">
        <v>2</v>
      </c>
      <c r="C497" s="207" t="str" cm="1">
        <f t="array" ref="C497">IF(OR(D466=0,D467="　"),"",IF(MID(D467,4,1)="5","S5-"&amp;_xlfn.IFS(1*MID(LEFT(D467, LEN(D467)-1),6,2)&lt;6,"5",1*MID(LEFT(D467, LEN(D467)-1),6,2)&lt;9,"8",1*MID(LEFT(D467, LEN(D467)-1),6,2)&gt;8,"12"),"S6-"&amp;_xlfn.IFS(1*MID(LEFT(D467, LEN(D467)-1),6,2)&lt;4,"3",1*MID(LEFT(D467, LEN(D467)-1),6,2)&lt;7,"6",1*MID(LEFT(D467, LEN(D467)-1),6,2)&lt;10,"9",1*MID(LEFT(D467, LEN(D467)-1),6,2)&lt;13,"12",1*MID(LEFT(D467, LEN(D467)-1),6,2)&gt;12,"14"))&amp;"、ポリプロピレン")</f>
        <v>S5-5、ポリプロピレン</v>
      </c>
      <c r="D497" s="208"/>
      <c r="E497" s="209"/>
      <c r="F497" s="222" t="s">
        <v>155</v>
      </c>
      <c r="G497" s="211"/>
      <c r="H497" s="212"/>
      <c r="I497" s="213" t="s">
        <v>13</v>
      </c>
      <c r="J497" s="206">
        <f>IF(OR(D466=0,D467="　"),"",MROUND((D475-0.4)/1,1))</f>
        <v>4</v>
      </c>
      <c r="K497" s="214">
        <f>IFERROR(D466*J497,"")</f>
        <v>40</v>
      </c>
    </row>
    <row r="498" spans="2:11" ht="12" customHeight="1">
      <c r="B498" s="206" t="s">
        <v>1</v>
      </c>
      <c r="C498" s="207" t="str" cm="1">
        <f t="array" ref="C498">IF(OR(D466=0,D467="　"),"",IF(MID(D467,4,1)="5","PC5-"&amp;_xlfn.IFS(1*MID(LEFT(D467, LEN(D467)-1),6,2)&lt;5,"4",1*MID(LEFT(D467, LEN(D467)-1),6,2)&lt;8,"7",1*MID(LEFT(D467, LEN(D467)-1),6,2)&lt;10,"9",1*MID(LEFT(D467, LEN(D467)-1),6,2)&gt;9,"12"),"PC6-"&amp;_xlfn.IFS(1*MID(LEFT(D467, LEN(D467)-1),6,2)&lt;4,"3",1*MID(LEFT(D467, LEN(D467)-1),6,2)&lt;8,"7",1*MID(LEFT(D467, LEN(D467)-1),6,2)&lt;13,"12",1*MID(LEFT(D467, LEN(D467)-1),6,2)&gt;12,"14"))&amp;"、ポリプロピレン")</f>
        <v>PC5-4、ポリプロピレン</v>
      </c>
      <c r="D498" s="208"/>
      <c r="E498" s="209"/>
      <c r="F498" s="217" t="str">
        <f>"n=1"</f>
        <v>n=1</v>
      </c>
      <c r="G498" s="218"/>
      <c r="H498" s="219"/>
      <c r="I498" s="213" t="s">
        <v>13</v>
      </c>
      <c r="J498" s="220" t="str">
        <f>IF(OR(D466=0,D467="　"),"",MID(F498,3,2))</f>
        <v>1</v>
      </c>
      <c r="K498" s="214">
        <f>IFERROR(D466*J498,"")</f>
        <v>10</v>
      </c>
    </row>
    <row r="499" spans="2:11" ht="12" customHeight="1">
      <c r="B499" s="206" t="s">
        <v>3</v>
      </c>
      <c r="C499" s="207" t="str">
        <f>IF(OR(D466=0,D467="　"),"","66ナイロン")</f>
        <v>66ナイロン</v>
      </c>
      <c r="D499" s="208"/>
      <c r="E499" s="209"/>
      <c r="F499" s="222" t="s">
        <v>156</v>
      </c>
      <c r="G499" s="211"/>
      <c r="H499" s="212"/>
      <c r="I499" s="213" t="s">
        <v>14</v>
      </c>
      <c r="J499" s="206">
        <f>IF(OR(D466=0,D467="　"),"",2*J497)</f>
        <v>8</v>
      </c>
      <c r="K499" s="214">
        <f>IFERROR(D466*J499,"")</f>
        <v>80</v>
      </c>
    </row>
    <row r="500" spans="2:11" ht="12" customHeight="1">
      <c r="B500" s="206" t="s">
        <v>4</v>
      </c>
      <c r="C500" s="207" t="str">
        <f>IF(OR(D466=0,D467="　"),"","フィラメントテープ")</f>
        <v>フィラメントテープ</v>
      </c>
      <c r="D500" s="208"/>
      <c r="E500" s="209"/>
      <c r="F500" s="222" t="str">
        <f>IF(OR(D466=0,D467="　"),"","L=((自由長+緊張部長)÷@1.0m)×テープ係数"&amp;IF(MID(D467,4,1)="5",_xlfn.IFS(1*MID(LEFT(D467, LEN(D467)-1),6,2)&lt;4,"0.8",1*MID(LEFT(D467, LEN(D467)-1),6,2)&lt;7,"1.0",1*MID(LEFT(D467, LEN(D467)-1),6,2)&lt;10,"1.2",1*MID(LEFT(D467, LEN(D467)-1),6,2)&lt;13,"1.4"),_xlfn.IFS(1*MID(LEFT(D467, LEN(D467)-1),6,2)&lt;4,"1.0",1*MID(LEFT(D467, LEN(D467)-1),6,2)&lt;7,"1.2",1*MID(LEFT(D467, LEN(D467)-1),6,2)&lt;10,"1.4",1*MID(LEFT(D467, LEN(D467)-1),6,2)&lt;15,"1.8")))</f>
        <v>L=((自由長+緊張部長)÷@1.0m)×テープ係数1.0</v>
      </c>
      <c r="G500" s="211"/>
      <c r="H500" s="212"/>
      <c r="I500" s="213" t="s">
        <v>12</v>
      </c>
      <c r="J500" s="223">
        <f>IF(OR(D466=0,D467="　"),"",MROUND((SUM(D476,D477))/1*RIGHT(F500, 3),0.1))</f>
        <v>5.5</v>
      </c>
      <c r="K500" s="214">
        <f>IFERROR(D466*J500,"")</f>
        <v>55</v>
      </c>
    </row>
    <row r="501" spans="2:11" ht="12" customHeight="1">
      <c r="B501" s="206" t="s">
        <v>0</v>
      </c>
      <c r="C501" s="207" t="str">
        <f>IF(OR(D466=0,D467="　"),"","16/20、高密度ポリエチレン")</f>
        <v>16/20、高密度ポリエチレン</v>
      </c>
      <c r="D501" s="208"/>
      <c r="E501" s="209"/>
      <c r="F501" s="210" t="s">
        <v>33</v>
      </c>
      <c r="G501" s="211"/>
      <c r="H501" s="212"/>
      <c r="I501" s="213" t="s">
        <v>12</v>
      </c>
      <c r="J501" s="214">
        <f>IF(OR(D466=0,D467="　"),"",MROUND(D479,0.1))</f>
        <v>9.7000000000000011</v>
      </c>
      <c r="K501" s="214">
        <f>IFERROR(D466*J501,"")</f>
        <v>97.000000000000014</v>
      </c>
    </row>
    <row r="502" spans="2:11" ht="12" customHeight="1">
      <c r="B502" s="206" t="str" cm="1">
        <f t="array" ref="B502">_xlfn.IFS(OR(D466=0,D467="　",MID(D470,1,2)="なし",MID(D470,1,3)="受圧体"),"",MID(D470,1,3)="のり面","のり面角度台座",MID(D470,1,3)="構造物","構造物壁面台座",MID(D470,1,3)="土留め","土留め台座")</f>
        <v>のり面角度台座</v>
      </c>
      <c r="C502" s="210" t="str" cm="1">
        <f t="array" ref="C502">IF(OR(D466=0,D467="　",MID(D470,1,2)="なし",MID(D470,1,3)="受圧体"),"",_xlfn.IFS(MID(D470,1,3)="のり面",IF(1*MID(D467,4,1)=5,_xlfn.IFS(1*MID(LEFT(D467, LEN(D467)-1),6,2)&lt;5,"ST140",1*MID(LEFT(D467, LEN(D467)-1),6,2)&lt;8,"ST170",1*MID(LEFT(D467, LEN(D467)-1),6,2)&lt;13,"ST220"),_xlfn.IFS(1*MID(LEFT(D467, LEN(D467)-1),6,2)&lt;4,"ST140",1*MID(LEFT(D467, LEN(D467)-1),6,2)&lt;5,"ST170",1*MID(LEFT(D467, LEN(D467)-1),6,2)&lt;8,"ST220",1*MID(LEFT(D467, LEN(D467)-1),6,2)&lt;15,"非該当"))&amp;"、FCD450相当、防食："&amp;_xlfn.IFS(MID(D468,1,3)="防食Ⅱ","HDZT77めっき",MID(D468,5,2)="塩害","ｱﾙﾐﾅｲｽﾞ処理",MID(D468,5,2)="酸性","重防食処理"),OR(MID(D470,1,3)="構造物",MID(D470,1,3)="土留め"),D467&amp;"用"&amp;IF(OR(MID(D470,1,3)="構造物",D471="　"),"",D471)&amp;"、防食："&amp;_xlfn.IFS(MID(D468,1,3)="防食Ⅱ","HDZT77めっき",MID(D468,5,2)="塩害","ｱﾙﾐﾅｲｽﾞ処理",MID(D468,5,2)="酸性","重防食処理")))</f>
        <v>ST140、FCD450相当、防食：HDZT77めっき</v>
      </c>
      <c r="D502" s="208"/>
      <c r="E502" s="209"/>
      <c r="F502" s="217" t="str">
        <f>IF(OR(D470="なし",D470="受圧体のみ"),"","n=1")</f>
        <v>n=1</v>
      </c>
      <c r="G502" s="218"/>
      <c r="H502" s="219"/>
      <c r="I502" s="213" t="str">
        <f>IF(OR(D466=0,D467="　",B502=""),"","台")</f>
        <v>台</v>
      </c>
      <c r="J502" s="220" t="str">
        <f>IF(OR(D466=0,D467="　"),"",MID(F502,3,2))</f>
        <v>1</v>
      </c>
      <c r="K502" s="214">
        <f>IFERROR(D466*J502,"")</f>
        <v>10</v>
      </c>
    </row>
    <row r="503" spans="2:11" ht="12" customHeight="1">
      <c r="B503" s="206" t="str">
        <f>IF(OR(D466=0,D467="　",MID(D470,1,3)&lt;&gt;"のり面"),"","補剛板")</f>
        <v>補剛板</v>
      </c>
      <c r="C503" s="210" t="str" cm="1">
        <f t="array" ref="C503">IF(OR(D466=0,D467="　",MID(D470,1,3)&lt;&gt;"のり面"),"",IF(MID(D467,4,1)="5","□"&amp;_xlfn.SWITCH(1*MID(LEFT(D467, LEN(D467)-1),6,2),1,"210φ131t12",2,"210φ131t12",3,"240φ131t12",4,"270φ131t12",5,"280φ143t12",6,"310φ143t16",7,"350φ143t19",8,"350φ180t19",9,"350φ180t19",10,"350φ180t19",11,"350φ180t22",12,"350φ180t22"),"□"&amp;_xlfn.SWITCH(1*MID(LEFT(D467, LEN(D467)-1),6,2),1,"210,φ131,t12",2,"240,φ131,t12",3,"270,φ131,t16",4,"300,φ143,t16",5,"350,φ180,t16",6,"350,φ180,t16",7,"350,φ180,t19",8,"400,φ──,t12",9,"400,φ──,t12",10,"400,φ──,t12",11,"400,φ──,t12",12,"400,φ──,t12",13,"400,φ──,t12",14,"400,φ──,t12"))&amp;"、SS400相当、防食："&amp;_xlfn.IFS(MID(D468,1,3)="防食Ⅱ","HDZT77めっき",MID(D468,5,2)="塩害","ｱﾙﾐﾅｲｽﾞ処理",MID(D468,5,2)="酸性","重防食処理"))</f>
        <v>□270φ131t12、SS400相当、防食：HDZT77めっき</v>
      </c>
      <c r="D503" s="208"/>
      <c r="E503" s="209"/>
      <c r="F503" s="217" t="str">
        <f>IF(OR(D466=0,D467="　",MID(D470,1,3)&lt;&gt;"のり面"),"","n=1")</f>
        <v>n=1</v>
      </c>
      <c r="G503" s="218"/>
      <c r="H503" s="219"/>
      <c r="I503" s="213" t="str">
        <f>IF(OR(D466=0,D467="　",B503="",MID(D470,1,3)&lt;&gt;"のり面"),"","枚")</f>
        <v>枚</v>
      </c>
      <c r="J503" s="220" t="str">
        <f>IF(OR(D466=0,D467="　"),"",MID(F503,3,2))</f>
        <v>1</v>
      </c>
      <c r="K503" s="214">
        <f>IFERROR(D466*J503,"")</f>
        <v>10</v>
      </c>
    </row>
    <row r="504" spans="2:11" ht="12" customHeight="1">
      <c r="B504" s="206" t="str" cm="1">
        <f t="array" ref="B504">_xlfn.IFS(OR(D466=0,D467="　"),"",MID(D469,1,3)="アルミ","",MID(D469,1,3)&lt;&gt;"アルミ","テンドン補修用塗料")</f>
        <v>テンドン補修用塗料</v>
      </c>
      <c r="C504" s="210" t="str" cm="1">
        <f t="array" ref="C504">_xlfn.IFS(OR(D466=0,D467="　"),"",MID(D469,1,3)="アルミ","",MID(D469,1,3)&lt;&gt;"アルミ","エポキシ樹脂")</f>
        <v>エポキシ樹脂</v>
      </c>
      <c r="D504" s="208"/>
      <c r="E504" s="209"/>
      <c r="F504" s="217" t="str" cm="1">
        <f t="array" ref="F504">_xlfn.IFS(OR(D466=0,D467="　"),"",MID(D469,1,3)="アルミ","",MID(D469,1,3)&lt;&gt;"アルミ","W=PC鋼より線本数×"&amp;IF(MID(D467,4,1)="5","0.28","0.40"))</f>
        <v>W=PC鋼より線本数×0.28</v>
      </c>
      <c r="G504" s="218"/>
      <c r="H504" s="219"/>
      <c r="I504" s="213" t="str" cm="1">
        <f t="array" ref="I504">_xlfn.IFS(OR(D466=0,D467="　"),"",MID(D469,1,3)="アルミ","",MID(D469,1,3)&lt;&gt;"アルミ","g")</f>
        <v>g</v>
      </c>
      <c r="J504" s="224" cm="1">
        <f t="array" ref="J504">_xlfn.IFS(OR(D466=0,D467="　"),"",MID(D469,1,3)="アルミ","",MID(D469,1,3)&lt;&gt;"アルミ",MID(LEFT(D467, LEN(D467)-1),6,2)*IF(MID(D467,4,1)="5",0.28,0.4))</f>
        <v>1.1200000000000001</v>
      </c>
      <c r="K504" s="214">
        <f>IFERROR(D466*J504,"")</f>
        <v>11.200000000000001</v>
      </c>
    </row>
    <row r="505" spans="2:11" ht="12" customHeight="1">
      <c r="B505" s="206" t="str" cm="1">
        <f t="array" ref="B505">_xlfn.IFS(OR(D466=0,D467="　"),"",MID(D469,1,3)="アルミ","",MID(D469,1,3)&lt;&gt;"アルミ","長期防錆スプレー")</f>
        <v>長期防錆スプレー</v>
      </c>
      <c r="C505" s="210" t="str" cm="1">
        <f t="array" ref="C505">_xlfn.IFS(OR(D466=0,D467="　"),"",MID(D469,1,3)="アルミ","",MID(D469,1,3)&lt;&gt;"アルミ","防錆オイル")</f>
        <v>防錆オイル</v>
      </c>
      <c r="D505" s="208"/>
      <c r="E505" s="209"/>
      <c r="F505" s="217" t="str" cm="1">
        <f t="array" ref="F505">_xlfn.IFS(OR(D466=0,D467="　"),"",MID(D469,1,3)="アルミ","",MID(D469,1,3)&lt;&gt;"アルミ","n=0.01×(PC鋼より線本数+"&amp;IF(MID(D467,4,1)="5","6","12")&amp;")")</f>
        <v>n=0.01×(PC鋼より線本数+6)</v>
      </c>
      <c r="G505" s="218"/>
      <c r="H505" s="219"/>
      <c r="I505" s="213" t="str" cm="1">
        <f t="array" ref="I505">_xlfn.IFS(OR(D466=0,D467="　"),"",MID(D469,1,3)="アルミ","",MID(D469,1,3)&lt;&gt;"アルミ","缶")</f>
        <v>缶</v>
      </c>
      <c r="J505" s="224" cm="1">
        <f t="array" ref="J505">_xlfn.IFS(OR(D466=0,D467="　"),"",MID(D469,1,3)="アルミ","",MID(D469,1,3)&lt;&gt;"アルミ",0.01*(MID(LEFT(D467, LEN(D467)-1),6,2)+IF(MID(D467,4,1)="5",6,12)))</f>
        <v>0.1</v>
      </c>
      <c r="K505" s="214">
        <f>IFERROR(D466*J505,"")</f>
        <v>1</v>
      </c>
    </row>
    <row r="506" spans="2:11" ht="12" customHeight="1">
      <c r="B506" s="206" t="str">
        <f>IF(OR(D466=0,D467="　",D472="なし"),"","フリーパッカー注入ホース")</f>
        <v/>
      </c>
      <c r="C506" s="207" t="str">
        <f>IF(OR(D466=0,D467="　",B506=""),"","16/20、高密度ポリエチレン")</f>
        <v/>
      </c>
      <c r="D506" s="208"/>
      <c r="E506" s="209"/>
      <c r="F506" s="210" t="str">
        <f>IF(B506="","","L=自由長+緊張部長")</f>
        <v/>
      </c>
      <c r="G506" s="211"/>
      <c r="H506" s="212"/>
      <c r="I506" s="213" t="str">
        <f>IF(OR(D466=0,D467="　",B506=""),"","m")</f>
        <v/>
      </c>
      <c r="J506" s="214" t="str">
        <f>IF(OR(D466=0,D467="　"),"",IF(B506="","",MROUND(D476+D477,0.1)))</f>
        <v/>
      </c>
      <c r="K506" s="214" t="str">
        <f>IFERROR(D466*J506,"")</f>
        <v/>
      </c>
    </row>
    <row r="507" spans="2:11" ht="12" customHeight="1">
      <c r="B507" s="225" t="str">
        <f>IF(OR(D466=0,D467="　",D472="なし"),"","フリーパッカー")</f>
        <v/>
      </c>
      <c r="C507" s="217" t="str" cm="1">
        <f t="array" ref="C507">IF(OR(D466=0,D467="　",B506=""),"",_xlfn.SWITCH(D481,90,"PA-170",115,"PA-200",135,"PA-240",146,"PA-240",165,"PA-350")&amp;"、織布")</f>
        <v/>
      </c>
      <c r="D507" s="208"/>
      <c r="E507" s="209"/>
      <c r="F507" s="226" t="str">
        <f>IF(B507="","","L=自由長+0.5m")</f>
        <v/>
      </c>
      <c r="G507" s="227"/>
      <c r="H507" s="228"/>
      <c r="I507" s="213" t="str">
        <f>IF(OR(D467=0,D468="　",B507=""),"","m")</f>
        <v/>
      </c>
      <c r="J507" s="214" t="str">
        <f>IF(OR(D466=0,D467="　"),"",IF(B507="","",MROUND(D476+0.5,0.1)))</f>
        <v/>
      </c>
      <c r="K507" s="214" t="str">
        <f>IFERROR(D466*J507,"")</f>
        <v/>
      </c>
    </row>
    <row r="508" spans="2:11" ht="12" customHeight="1">
      <c r="B508" s="206" t="str">
        <f>IF(OR(D466=0,D467="　",D472="なし"),"","パッカー取付加工")</f>
        <v/>
      </c>
      <c r="C508" s="207"/>
      <c r="D508" s="208"/>
      <c r="E508" s="209"/>
      <c r="F508" s="217" t="str">
        <f>IF(B508="","","n=1")</f>
        <v/>
      </c>
      <c r="G508" s="218"/>
      <c r="H508" s="219"/>
      <c r="I508" s="213" t="str">
        <f>IF(OR(D468=0,D469="　",B508=""),"","式")</f>
        <v/>
      </c>
      <c r="J508" s="220" t="str">
        <f>IF(OR(D466=0,D467="　"),"",MID(F508,3,2))</f>
        <v/>
      </c>
      <c r="K508" s="206" t="str">
        <f>IFERROR(D466*J508,"")</f>
        <v/>
      </c>
    </row>
    <row r="509" spans="2:11" ht="12" customHeight="1">
      <c r="B509" s="229"/>
      <c r="C509" s="230"/>
      <c r="D509" s="231"/>
      <c r="E509" s="232"/>
      <c r="F509" s="233"/>
      <c r="G509" s="234"/>
      <c r="H509" s="235"/>
      <c r="I509" s="236"/>
      <c r="J509" s="237"/>
      <c r="K509" s="229"/>
    </row>
    <row r="510" spans="2:11" ht="12" customHeight="1">
      <c r="B510" s="238" t="s">
        <v>30</v>
      </c>
      <c r="C510" s="239" t="s">
        <v>31</v>
      </c>
      <c r="D510" s="240"/>
      <c r="E510" s="241"/>
      <c r="F510" s="242" t="s">
        <v>157</v>
      </c>
      <c r="G510" s="243"/>
      <c r="H510" s="244"/>
      <c r="I510" s="245" t="s">
        <v>55</v>
      </c>
      <c r="J510" s="246">
        <f>IFERROR(MROUND(0.25*PI()*(0.001*D481)^2*(D474+D475+D480)*(1+2.2),0.01),"")</f>
        <v>0.17</v>
      </c>
      <c r="K510" s="246">
        <f>IFERROR(D466*J510,"")</f>
        <v>1.7000000000000002</v>
      </c>
    </row>
    <row r="512" spans="2:11" ht="12" customHeight="1">
      <c r="B512" s="247" t="s">
        <v>136</v>
      </c>
      <c r="C512" s="247"/>
      <c r="D512" s="247"/>
      <c r="F512" s="163"/>
      <c r="G512" s="164"/>
      <c r="H512" s="164"/>
    </row>
    <row r="513" spans="2:11" ht="12" customHeight="1">
      <c r="B513" s="15" t="s">
        <v>111</v>
      </c>
      <c r="C513" s="15"/>
      <c r="D513" s="1"/>
      <c r="E513" s="1"/>
      <c r="H513" s="119"/>
      <c r="J513" s="118"/>
    </row>
    <row r="514" spans="2:11" ht="12" customHeight="1">
      <c r="B514" s="165" t="s">
        <v>166</v>
      </c>
      <c r="C514" s="3"/>
      <c r="D514" s="1"/>
      <c r="E514" s="1"/>
      <c r="F514" s="8"/>
      <c r="G514" s="8"/>
      <c r="H514" s="102"/>
      <c r="I514" s="28"/>
      <c r="J514" s="118"/>
    </row>
    <row r="515" spans="2:11" ht="12" customHeight="1">
      <c r="B515" s="15" t="s">
        <v>40</v>
      </c>
      <c r="C515" s="3"/>
      <c r="D515" s="1"/>
      <c r="E515" s="1"/>
      <c r="F515" s="15" t="s">
        <v>54</v>
      </c>
      <c r="G515" s="15"/>
      <c r="H515" s="102"/>
      <c r="I515" s="28"/>
    </row>
    <row r="516" spans="2:11" ht="12" customHeight="1">
      <c r="B516" s="2" t="s">
        <v>53</v>
      </c>
      <c r="C516" s="2" t="s">
        <v>21</v>
      </c>
      <c r="D516" s="2" t="s">
        <v>22</v>
      </c>
      <c r="E516" s="17"/>
      <c r="F516" s="49" t="s">
        <v>41</v>
      </c>
      <c r="G516" s="97" t="s">
        <v>59</v>
      </c>
      <c r="H516" s="49" t="s">
        <v>44</v>
      </c>
      <c r="I516" s="2" t="s">
        <v>21</v>
      </c>
      <c r="J516" s="49" t="s">
        <v>138</v>
      </c>
      <c r="K516" s="2" t="s">
        <v>28</v>
      </c>
    </row>
    <row r="517" spans="2:11" ht="12" customHeight="1">
      <c r="B517" s="166" t="s">
        <v>25</v>
      </c>
      <c r="C517" s="18" t="s">
        <v>24</v>
      </c>
      <c r="D517" s="167">
        <v>10</v>
      </c>
      <c r="E517" s="19"/>
      <c r="F517" s="168" t="s">
        <v>43</v>
      </c>
      <c r="G517" s="169" t="s">
        <v>113</v>
      </c>
      <c r="H517" s="88" t="str" cm="1">
        <f t="array" ref="H517">_xlfn.IFS(AND(F517&lt;&gt;"非削孔",F517&lt;&gt;"無設定"),D532,F517="非削孔",IF(MID(D521,1,3)="土留め","非削孔","箱抜き"),F517="無設定","無設定")</f>
        <v>箱抜き</v>
      </c>
      <c r="I517" s="23" t="str">
        <f>IF(F517="無設定","","m")</f>
        <v>m</v>
      </c>
      <c r="J517" s="170">
        <v>0.5</v>
      </c>
      <c r="K517" s="30">
        <f>D517*J517</f>
        <v>5</v>
      </c>
    </row>
    <row r="518" spans="2:11" ht="12" customHeight="1">
      <c r="B518" s="171" t="s">
        <v>37</v>
      </c>
      <c r="C518" s="50" t="s">
        <v>38</v>
      </c>
      <c r="D518" s="172" t="s">
        <v>159</v>
      </c>
      <c r="E518" s="173"/>
      <c r="F518" s="174" t="s">
        <v>49</v>
      </c>
      <c r="G518" s="169" t="s">
        <v>114</v>
      </c>
      <c r="H518" s="88" cm="1">
        <f t="array" ref="H518">_xlfn.IFS(AND(F518&lt;&gt;"非削孔",F518&lt;&gt;"無設定"),D532,F518="非削孔","箱抜き",F518="無設定","無設定")</f>
        <v>90</v>
      </c>
      <c r="I518" s="23" t="str">
        <f t="shared" ref="I518:I526" si="20">IF(F518="無設定","","m")</f>
        <v>m</v>
      </c>
      <c r="J518" s="170">
        <v>2.64</v>
      </c>
      <c r="K518" s="30">
        <f>D517*J518</f>
        <v>26.400000000000002</v>
      </c>
    </row>
    <row r="519" spans="2:11" ht="12" customHeight="1">
      <c r="B519" s="52" t="s">
        <v>39</v>
      </c>
      <c r="C519" s="91" t="s">
        <v>38</v>
      </c>
      <c r="D519" s="175" t="s">
        <v>60</v>
      </c>
      <c r="E519" s="140"/>
      <c r="F519" s="174" t="s">
        <v>49</v>
      </c>
      <c r="G519" s="169" t="s">
        <v>115</v>
      </c>
      <c r="H519" s="88" cm="1">
        <f t="array" ref="H519">_xlfn.IFS(AND(F519&lt;&gt;"非削孔",F519&lt;&gt;"無設定"),D532,F519="非削孔","箱抜き",F519="無設定","無設定")</f>
        <v>90</v>
      </c>
      <c r="I519" s="23" t="str">
        <f t="shared" si="20"/>
        <v>m</v>
      </c>
      <c r="J519" s="170">
        <v>5.36</v>
      </c>
      <c r="K519" s="30">
        <f>D517*J519</f>
        <v>53.6</v>
      </c>
    </row>
    <row r="520" spans="2:11" ht="12" customHeight="1">
      <c r="B520" s="147" t="s">
        <v>140</v>
      </c>
      <c r="C520" s="91" t="s">
        <v>38</v>
      </c>
      <c r="D520" s="176" t="s">
        <v>141</v>
      </c>
      <c r="E520" s="141"/>
      <c r="F520" s="174" t="s">
        <v>48</v>
      </c>
      <c r="G520" s="169"/>
      <c r="H520" s="88" t="str" cm="1">
        <f t="array" ref="H520">_xlfn.IFS(AND(F520&lt;&gt;"非削孔",F520&lt;&gt;"無設定"),D532,F520="非削孔","箱抜き",F520="無設定","無設定")</f>
        <v>無設定</v>
      </c>
      <c r="I520" s="23" t="str">
        <f t="shared" si="20"/>
        <v/>
      </c>
      <c r="J520" s="170">
        <v>0</v>
      </c>
      <c r="K520" s="30">
        <f>D517*J520</f>
        <v>0</v>
      </c>
    </row>
    <row r="521" spans="2:11" ht="12" customHeight="1">
      <c r="B521" s="147" t="s">
        <v>142</v>
      </c>
      <c r="C521" s="91" t="s">
        <v>38</v>
      </c>
      <c r="D521" s="177" t="s">
        <v>160</v>
      </c>
      <c r="E521" s="21"/>
      <c r="F521" s="174" t="s">
        <v>48</v>
      </c>
      <c r="G521" s="169"/>
      <c r="H521" s="88" t="str" cm="1">
        <f t="array" ref="H521">_xlfn.IFS(AND(F521&lt;&gt;"非削孔",F521&lt;&gt;"無設定"),D532,F521="非削孔","箱抜き",F521="無設定","無設定")</f>
        <v>無設定</v>
      </c>
      <c r="I521" s="23" t="str">
        <f t="shared" si="20"/>
        <v/>
      </c>
      <c r="J521" s="170">
        <v>0</v>
      </c>
      <c r="K521" s="30">
        <f>D517*J521</f>
        <v>0</v>
      </c>
    </row>
    <row r="522" spans="2:11" ht="12" customHeight="1">
      <c r="B522" s="114" t="str">
        <f>IF(MID(D521,1,3)="土留め",D521&amp;"の種類","")</f>
        <v/>
      </c>
      <c r="C522" s="91" t="s">
        <v>38</v>
      </c>
      <c r="D522" s="178" t="s">
        <v>71</v>
      </c>
      <c r="E522" s="21"/>
      <c r="F522" s="174" t="s">
        <v>48</v>
      </c>
      <c r="G522" s="169"/>
      <c r="H522" s="88" t="str" cm="1">
        <f t="array" ref="H522">_xlfn.IFS(AND(F522&lt;&gt;"非削孔",F522&lt;&gt;"無設定"),D532,F522="非削孔","箱抜き",F522="無設定","無設定")</f>
        <v>無設定</v>
      </c>
      <c r="I522" s="23" t="str">
        <f t="shared" si="20"/>
        <v/>
      </c>
      <c r="J522" s="170">
        <v>0</v>
      </c>
      <c r="K522" s="30">
        <f>D517*J522</f>
        <v>0</v>
      </c>
    </row>
    <row r="523" spans="2:11" ht="12" customHeight="1">
      <c r="B523" s="179" t="s">
        <v>50</v>
      </c>
      <c r="C523" s="180" t="s">
        <v>38</v>
      </c>
      <c r="D523" s="181" t="s">
        <v>51</v>
      </c>
      <c r="E523" s="182"/>
      <c r="F523" s="174" t="s">
        <v>48</v>
      </c>
      <c r="G523" s="169"/>
      <c r="H523" s="88" t="str" cm="1">
        <f t="array" ref="H523">_xlfn.IFS(AND(F523&lt;&gt;"非削孔",F523&lt;&gt;"無設定"),D532,F523="非削孔","箱抜き",F523="無設定","無設定")</f>
        <v>無設定</v>
      </c>
      <c r="I523" s="23" t="str">
        <f t="shared" si="20"/>
        <v/>
      </c>
      <c r="J523" s="170">
        <v>0</v>
      </c>
      <c r="K523" s="30">
        <f>D517*J523</f>
        <v>0</v>
      </c>
    </row>
    <row r="524" spans="2:11" ht="12" customHeight="1">
      <c r="B524" s="160" t="str" cm="1">
        <f t="array" ref="B524">"頭部自由長"&amp;_xlfn.IFS(MID(D521,1,2)="なし","",MID(D521,1,3)="受圧体","(受圧体)",MID(D521,1,3)="のり面","(角度台座＋受圧体)",MID(D521,1,3)="構造物","(壁面台座)",MID(D521,1,3)="土留め","(台座+腹起し)")&amp;"　Lfh"</f>
        <v>頭部自由長(角度台座＋受圧体)　Lfh</v>
      </c>
      <c r="C524" s="155" t="s">
        <v>23</v>
      </c>
      <c r="D524" s="183">
        <v>0.5</v>
      </c>
      <c r="E524" s="21"/>
      <c r="F524" s="174" t="s">
        <v>144</v>
      </c>
      <c r="G524" s="169"/>
      <c r="H524" s="88" cm="1">
        <f t="array" ref="H524">_xlfn.IFS(AND(F524&lt;&gt;"非削孔",F524&lt;&gt;"無設定"),D532,F524="非削孔","箱抜き",F524="無設定","無設定")</f>
        <v>90</v>
      </c>
      <c r="I524" s="23" t="str">
        <f t="shared" si="20"/>
        <v>m</v>
      </c>
      <c r="J524" s="170">
        <v>0</v>
      </c>
      <c r="K524" s="30">
        <f>D517*J524</f>
        <v>0</v>
      </c>
    </row>
    <row r="525" spans="2:11" ht="12" customHeight="1">
      <c r="B525" s="22" t="s">
        <v>108</v>
      </c>
      <c r="C525" s="23" t="s">
        <v>23</v>
      </c>
      <c r="D525" s="184">
        <v>4</v>
      </c>
      <c r="E525" s="21"/>
      <c r="F525" s="174" t="s">
        <v>48</v>
      </c>
      <c r="G525" s="169"/>
      <c r="H525" s="88" t="str" cm="1">
        <f t="array" ref="H525">_xlfn.IFS(AND(F525&lt;&gt;"非削孔",F525&lt;&gt;"無設定"),D532,F525="非削孔","箱抜き",F525="無設定","無設定")</f>
        <v>無設定</v>
      </c>
      <c r="I525" s="23" t="str">
        <f t="shared" si="20"/>
        <v/>
      </c>
      <c r="J525" s="170">
        <v>0</v>
      </c>
      <c r="K525" s="30">
        <f>D517*J525</f>
        <v>0</v>
      </c>
    </row>
    <row r="526" spans="2:11" ht="12" customHeight="1">
      <c r="B526" s="157" t="s">
        <v>36</v>
      </c>
      <c r="C526" s="158" t="s">
        <v>23</v>
      </c>
      <c r="D526" s="185">
        <v>4</v>
      </c>
      <c r="F526" s="186" t="str" cm="1">
        <f t="array" ref="F526">INDEX(F517:H525,MATCH("無設定",F517:F525,0)-1,MATCH(F516,F516:H516,0))</f>
        <v>軟　岩</v>
      </c>
      <c r="G526" s="100" t="str" cm="1">
        <f t="array" ref="G526">INDEX(F517:H525,MATCH("無設定",F517:F525,0)-1,MATCH(G516,F516:H516,0))&amp;"　(先端長 L2d)"</f>
        <v>風化岩 CL　(先端長 L2d)</v>
      </c>
      <c r="H526" s="88" cm="1">
        <f t="array" ref="H526">INDEX(F517:H525,MATCH("無設定",F517:F525,0)-1,MATCH(H516,F516:H516,0))</f>
        <v>90</v>
      </c>
      <c r="I526" s="23" t="str">
        <f t="shared" si="20"/>
        <v>m</v>
      </c>
      <c r="J526" s="98">
        <f>D531</f>
        <v>0.25</v>
      </c>
      <c r="K526" s="78">
        <f>IFERROR(D517*J526,"")</f>
        <v>2.5</v>
      </c>
    </row>
    <row r="527" spans="2:11" ht="12" customHeight="1">
      <c r="B527" s="154" t="s">
        <v>145</v>
      </c>
      <c r="C527" s="155" t="s">
        <v>23</v>
      </c>
      <c r="D527" s="187">
        <f>IF(OR(D517=0,D518="　"),"──",SUM(D524:D525))</f>
        <v>4.5</v>
      </c>
      <c r="E527" s="19"/>
      <c r="F527" s="188"/>
      <c r="G527" s="75" t="s">
        <v>124</v>
      </c>
      <c r="H527" s="103"/>
      <c r="I527" s="18" t="s">
        <v>23</v>
      </c>
      <c r="J527" s="74">
        <f>SUMIFS(J517:J526,F517:F526,"&lt;&gt;非削孔",F517:F526,"&lt;&gt;無設定")</f>
        <v>8.25</v>
      </c>
      <c r="K527" s="95">
        <f>SUMIFS(K517:K526,F517:F526,"&lt;&gt;非削孔",F517:F526,"&lt;&gt;無設定")</f>
        <v>82.5</v>
      </c>
    </row>
    <row r="528" spans="2:11" ht="12" customHeight="1">
      <c r="B528" s="146" t="s">
        <v>146</v>
      </c>
      <c r="C528" s="23" t="s">
        <v>23</v>
      </c>
      <c r="D528" s="189" cm="1">
        <f t="array" ref="D528">IF(OR(D517=0,D518="　"),"──",IF(MID(D518,4,1)="5",_xlfn.IFS(1*MID(LEFT(D518, LEN(D518)-1),6,2)&lt;8,1,1*MID(LEFT(D518, LEN(D518)-1),6,2)&lt;13,1.2),_xlfn.IFS(1*MID(LEFT(D518, LEN(D518)-1),6,2)&lt;6,1,1*MID(LEFT(D518, LEN(D518)-1),6,2)&lt;15,1.2)))</f>
        <v>1</v>
      </c>
      <c r="E528" s="19"/>
      <c r="F528" s="190"/>
      <c r="G528" s="76" t="s">
        <v>47</v>
      </c>
      <c r="H528" s="104"/>
      <c r="I528" s="79" t="s">
        <v>46</v>
      </c>
      <c r="J528" s="77" t="str">
        <f>IF(OR(D517=0,D518="　"),"",IF(SUM(D525:D526,D531)=J527,"OK","NG"))</f>
        <v>OK</v>
      </c>
      <c r="K528" s="145" t="str">
        <f>IF(J528&lt;&gt;"NG","──",J527-SUM(D525:D526,D531))</f>
        <v>──</v>
      </c>
    </row>
    <row r="529" spans="2:11" ht="12" customHeight="1">
      <c r="B529" s="22" t="s">
        <v>125</v>
      </c>
      <c r="C529" s="23" t="s">
        <v>35</v>
      </c>
      <c r="D529" s="84">
        <f>IF(OR(D517=0,D518="　"),"──",0.2)</f>
        <v>0.2</v>
      </c>
      <c r="F529" s="191" t="s">
        <v>58</v>
      </c>
      <c r="G529" s="248" t="s">
        <v>110</v>
      </c>
      <c r="H529" s="249"/>
      <c r="I529" s="249"/>
      <c r="J529" s="249"/>
      <c r="K529" s="250"/>
    </row>
    <row r="530" spans="2:11" ht="12" customHeight="1">
      <c r="B530" s="6" t="s">
        <v>147</v>
      </c>
      <c r="C530" s="23" t="s">
        <v>23</v>
      </c>
      <c r="D530" s="60">
        <f>IF(OR(D517=0,D518="　"),"──",SUM(D526:D529))</f>
        <v>9.6999999999999993</v>
      </c>
    </row>
    <row r="531" spans="2:11" ht="12" customHeight="1">
      <c r="B531" s="25" t="s">
        <v>127</v>
      </c>
      <c r="C531" s="26" t="s">
        <v>23</v>
      </c>
      <c r="D531" s="27">
        <f>IF(OR(D517=0,D518="　"),"──",0.25)</f>
        <v>0.25</v>
      </c>
      <c r="F531" s="8"/>
      <c r="G531" s="8"/>
      <c r="H531" s="102"/>
    </row>
    <row r="532" spans="2:11" ht="12" customHeight="1">
      <c r="B532" s="95" t="s">
        <v>123</v>
      </c>
      <c r="C532" s="18" t="s">
        <v>32</v>
      </c>
      <c r="D532" s="192">
        <v>90</v>
      </c>
      <c r="E532" s="193" t="str">
        <f>IF(D532&lt;D533,"NG：削孔径不適合","")</f>
        <v/>
      </c>
      <c r="F532" s="8"/>
      <c r="G532" s="8"/>
      <c r="H532" s="102"/>
    </row>
    <row r="533" spans="2:11" ht="12" customHeight="1">
      <c r="B533" s="25" t="s">
        <v>122</v>
      </c>
      <c r="C533" s="26" t="s">
        <v>32</v>
      </c>
      <c r="D533" s="194" cm="1">
        <f t="array" ref="D533">IF(OR(D517=0,D518="　"),"──",IF(D523="なし",IF(MID(D518,4,1)="5",_xlfn.IFS(1*MID(LEFT(D518, LEN(D518)-1),6,2)&lt;6,90,1*MID(LEFT(D518, LEN(D518)-1),6,2)&lt;9,115,1*MID(LEFT(D518, LEN(D518)-1),6,2)&gt;8,135),_xlfn.IFS(1*MID(LEFT(D518, LEN(D518)-1),6,2)&lt;4,90,1*MID(LEFT(D518, LEN(D518)-1),6,2)&lt;7,115,1*MID(LEFT(D518, LEN(D518)-1),6,2)&lt;10,135,1*MID(LEFT(D518, LEN(D518)-1),6,2)&lt;13,146,1*MID(LEFT(D518, LEN(D518)-1),6,2)&gt;12,165)),IF(MID(D518,4,1)="5",_xlfn.IFS(1*MID(LEFT(D518, LEN(D518)-1),6,2)&lt;3,90,1*MID(LEFT(D518, LEN(D518)-1),6,2)&lt;7,115,1*MID(LEFT(D518, LEN(D518)-1),6,2)&lt;9,135,1*MID(LEFT(D518, LEN(D518)-1),6,2)&gt;8,146),_xlfn.IFS(1*MID(LEFT(D518, LEN(D518)-1),6,2)&lt;3,90,1*MID(LEFT(D518, LEN(D518)-1),6,2)&lt;4,115,1*MID(LEFT(D518, LEN(D518)-1),6,2)&lt;6,135,1*MID(LEFT(D518, LEN(D518)-1),6,2)&lt;10,146,1*MID(LEFT(D518, LEN(D518)-1),6,2)&lt;13,165,1*MID(LEFT(D518, LEN(D518)-1),6,2)&gt;12,216))))</f>
        <v>90</v>
      </c>
      <c r="E533" s="195"/>
      <c r="F533" s="8"/>
      <c r="G533" s="8"/>
      <c r="H533" s="102"/>
    </row>
    <row r="534" spans="2:11" ht="12" customHeight="1">
      <c r="B534" s="20"/>
      <c r="C534" s="46"/>
      <c r="D534" s="117"/>
      <c r="F534" s="8"/>
      <c r="G534" s="8"/>
      <c r="H534" s="102"/>
    </row>
    <row r="535" spans="2:11" ht="12" customHeight="1">
      <c r="B535" s="15" t="str">
        <f>"■"&amp;MID(B512,2,14)</f>
        <v>■本設：EHDアンカーHP工法</v>
      </c>
      <c r="C535" s="3"/>
      <c r="D535" s="1"/>
      <c r="E535" s="1"/>
      <c r="F535" s="8"/>
      <c r="G535" s="8"/>
      <c r="H535" s="102"/>
    </row>
    <row r="536" spans="2:11" ht="12" customHeight="1">
      <c r="B536" s="2" t="s">
        <v>17</v>
      </c>
      <c r="C536" s="43"/>
      <c r="D536" s="196" t="s">
        <v>148</v>
      </c>
      <c r="E536" s="135"/>
      <c r="F536" s="16"/>
      <c r="G536" s="61" t="s">
        <v>42</v>
      </c>
      <c r="H536" s="97"/>
      <c r="I536" s="2" t="s">
        <v>21</v>
      </c>
      <c r="J536" s="49" t="s">
        <v>149</v>
      </c>
      <c r="K536" s="2" t="s">
        <v>28</v>
      </c>
    </row>
    <row r="537" spans="2:11" ht="12" customHeight="1">
      <c r="B537" s="197" t="s">
        <v>150</v>
      </c>
      <c r="C537" s="198" t="str">
        <f>IF(OR(D517=0,D518="　"),"",D518&amp;" ("&amp;MID(LEFT(D518, LEN(D518)-1),6,2)&amp;IF(MID(D518,4,1)="5","φ12.7","φ15.2")&amp;")")</f>
        <v>EHD5-4H (4φ12.7)</v>
      </c>
      <c r="D537" s="199"/>
      <c r="E537" s="200"/>
      <c r="F537" s="201" t="str">
        <f>"W=テンドン長×PC鋼より線本数×"&amp;IF(MID(D518,4,1)="5","0.774","1.101")&amp;"kg/m"</f>
        <v>W=テンドン長×PC鋼より線本数×0.774kg/m</v>
      </c>
      <c r="G537" s="202"/>
      <c r="H537" s="203"/>
      <c r="I537" s="204" t="s">
        <v>11</v>
      </c>
      <c r="J537" s="205">
        <f>IF(OR(D517=0,D518="　"),"",MROUND(D530*MID(LEFT(D518, LEN(D518)-1),6,2)*IF(MID(D518,4,1)="5","0.774","1.101"),0.01))</f>
        <v>30.03</v>
      </c>
      <c r="K537" s="205">
        <f>IFERROR(D517*J537,"")</f>
        <v>300.3</v>
      </c>
    </row>
    <row r="538" spans="2:11" ht="12" customHeight="1">
      <c r="B538" s="206" t="s">
        <v>151</v>
      </c>
      <c r="C538" s="207"/>
      <c r="D538" s="208"/>
      <c r="E538" s="209"/>
      <c r="F538" s="210" t="s">
        <v>33</v>
      </c>
      <c r="G538" s="211"/>
      <c r="H538" s="212"/>
      <c r="I538" s="213" t="s">
        <v>12</v>
      </c>
      <c r="J538" s="214">
        <f>IF(OR(D517=0,D518="　"),"",MROUND(D530,0.1))</f>
        <v>9.7000000000000011</v>
      </c>
      <c r="K538" s="214">
        <f>IFERROR(D517*J538,"")</f>
        <v>97.000000000000014</v>
      </c>
    </row>
    <row r="539" spans="2:11" ht="12" customHeight="1">
      <c r="B539" s="206" t="str">
        <f>"頭部キャップ"</f>
        <v>頭部キャップ</v>
      </c>
      <c r="C539" s="207" t="str" cm="1">
        <f t="array" ref="C539">IF(OR(D517=0,D518="　"),"",IF(MID(D518,4,1)="5",_xlfn.SWITCH(1*MID(LEFT(D518, LEN(D518)-1),6,2),1,"S",2,"S",3,"S",4,"S",5,"M",6,"M",7,"M",8,"L",9,"L",10,"L",11,"L",12,"L"),_xlfn.SWITCH(1*MID(LEFT(D518, LEN(D518)-1),6,2),1,"S",2,"S",3,"M",4,"M",5,"L",6,"L",7,"L",8,"LL",9,"LL",10,"LL",11,"LL",12,"LL",13,"LL",14,"LL"))&amp;"型"&amp;D520&amp;IF(OR(MID(D520,1,2)="透明",MID(D520,1,2)="5窓"),"、PC樹脂","")&amp;"、ｱﾙﾐAC4C相当"&amp;_xlfn.IFS(MID(D519,1,3)="防食Ⅱ","",MID(D519,5,2)="塩害","、防食：ﾀｹｺｰﾄ処理",MID(D519,5,2)="酸性","、防食：重防食処理"))</f>
        <v>S型透明キャップ、PC樹脂、ｱﾙﾐAC4C相当</v>
      </c>
      <c r="D539" s="215"/>
      <c r="E539" s="216"/>
      <c r="F539" s="217" t="str">
        <f t="shared" ref="F539:F545" si="21">"n=1"</f>
        <v>n=1</v>
      </c>
      <c r="G539" s="218"/>
      <c r="H539" s="219"/>
      <c r="I539" s="213" t="s">
        <v>13</v>
      </c>
      <c r="J539" s="220" t="str">
        <f>IF(OR(D517=0,D518="　"),"",MID(F539,3,2))</f>
        <v>1</v>
      </c>
      <c r="K539" s="214">
        <f>IFERROR(D517*J539,"")</f>
        <v>10</v>
      </c>
    </row>
    <row r="540" spans="2:11" ht="12" customHeight="1">
      <c r="B540" s="206" t="s">
        <v>5</v>
      </c>
      <c r="C540" s="207" t="str" cm="1">
        <f t="array" ref="C540">IF(OR(D517=0,D518="　"),"",IF(MID(D518,4,1)="5","G5"&amp;_xlfn.SWITCH(1*MID(LEFT(D518, LEN(D518)-1),6,2),1,"01",2,"02",3,"03",4,"04",5,"07",6,"07",7,"07",8,"09",9,"09",10,"12",11,"12",12,"12"),"G6"&amp;_xlfn.SWITCH(1*MID(LEFT(D518, LEN(D518)-1),6,2),1,"01",2,"02",3,"03",4,"04",5,"07",6,"07",7,"07",8,"09",9,"09",10,"12",11,"12",12,"12",13,"14",14,"14"))&amp;"、S45C相当"&amp;IF(MID(D520,1,3)&lt;&gt;"アルミ","、防食：無電解Niめっき",""))</f>
        <v>G504、S45C相当、防食：無電解Niめっき</v>
      </c>
      <c r="D540" s="208"/>
      <c r="E540" s="209"/>
      <c r="F540" s="217" t="str">
        <f t="shared" si="21"/>
        <v>n=1</v>
      </c>
      <c r="G540" s="218"/>
      <c r="H540" s="219"/>
      <c r="I540" s="213" t="s">
        <v>13</v>
      </c>
      <c r="J540" s="220" t="str">
        <f>IF(OR(D517=0,D518="　"),"",MID(F540,3,2))</f>
        <v>1</v>
      </c>
      <c r="K540" s="214">
        <f>IFERROR(D517*J540,"")</f>
        <v>10</v>
      </c>
    </row>
    <row r="541" spans="2:11" ht="12" customHeight="1">
      <c r="B541" s="206" t="s">
        <v>152</v>
      </c>
      <c r="C541" s="207" t="str" cm="1">
        <f t="array" ref="C541">IF(OR(D517=0,D518="　"),"",IF(MID(D518,4,1)="5","G5"&amp;_xlfn.SWITCH(1*MID(LEFT(D518, LEN(D518)-1),6,2),1,"01",2,"02",3,"03",4,"04",5,"07",6,"07",7,"07",8,"09",9,"09",10,"12",11,"12",12,"12"),"G6"&amp;_xlfn.SWITCH(1*MID(LEFT(D518, LEN(D518)-1),6,2),1,"01",2,"02",3,"03",4,"04",5,"07",6,"07",7,"07",8,"09",9,"09",10,"12",11,"12",12,"12",13,"14",14,"14"))&amp;"、S45C相当"&amp;IF(MID(D520,1,3)&lt;&gt;"アルミ","、防食：無電解Niめっき",""))</f>
        <v>G504、S45C相当、防食：無電解Niめっき</v>
      </c>
      <c r="D541" s="208"/>
      <c r="E541" s="209"/>
      <c r="F541" s="217" t="str">
        <f t="shared" si="21"/>
        <v>n=1</v>
      </c>
      <c r="G541" s="218"/>
      <c r="H541" s="219"/>
      <c r="I541" s="213" t="s">
        <v>13</v>
      </c>
      <c r="J541" s="220" t="str">
        <f>IF(OR(D517=0,D518="　"),"",MID(F541,3,2))</f>
        <v>1</v>
      </c>
      <c r="K541" s="214">
        <f>IFERROR(D517*J541,"")</f>
        <v>10</v>
      </c>
    </row>
    <row r="542" spans="2:11" ht="12" customHeight="1">
      <c r="B542" s="206" t="s">
        <v>7</v>
      </c>
      <c r="C542" s="207" t="str">
        <f>IF(OR(D517=0,D518="　"),"",IF(1*MID(D518,4,1)=5,"ECF12.7","ECF15.2")&amp;"、SCM415相当"&amp;IF(MID(D520,1,3)&lt;&gt;"アルミ","、防食：無電解Niめっき",""))</f>
        <v>ECF12.7、SCM415相当、防食：無電解Niめっき</v>
      </c>
      <c r="D542" s="208"/>
      <c r="E542" s="209"/>
      <c r="F542" s="217" t="str">
        <f t="shared" si="21"/>
        <v>n=1</v>
      </c>
      <c r="G542" s="218"/>
      <c r="H542" s="219"/>
      <c r="I542" s="213" t="s">
        <v>27</v>
      </c>
      <c r="J542" s="220" t="str">
        <f>IF(OR(D517=0,D518="　"),"",MID(F542,3,2))</f>
        <v>1</v>
      </c>
      <c r="K542" s="214">
        <f>IFERROR(D517*J542,"")</f>
        <v>10</v>
      </c>
    </row>
    <row r="543" spans="2:11" ht="12" customHeight="1">
      <c r="B543" s="206" t="s">
        <v>153</v>
      </c>
      <c r="C543" s="207" t="str" cm="1">
        <f t="array" ref="C543">IF(OR(D517=0,D518="　"),"",IF(MID(D518,4,1)="5","G5"&amp;_xlfn.SWITCH(1*MID(LEFT(D518, LEN(D518)-1),6,2),1,"01",2,"04",3,"03",4,"04",5,"07",6,"07",7,"07",8,"12",9,"12",10,"12",11,"12",12,"12"),"G6"&amp;_xlfn.SWITCH(1*MID(LEFT(D518, LEN(D518)-1),6,2),1,"01",2,"02",3,"03",4,"04",5,"07",6,"07",7,"07",8,"12",9,"12",10,"12",11,"12",12,"12",13,"14",14,"14"))&amp;"、SS400相当、防食："&amp;_xlfn.IFS(MID(D519,1,3)="防食Ⅱ","HDZT77めっき",MID(D519,5,2)="塩害","ｱﾙﾐﾅｲｽﾞ処理",MID(D519,5,2)="酸性","重防食処理"))</f>
        <v>G504、SS400相当、防食：HDZT77めっき</v>
      </c>
      <c r="D543" s="208"/>
      <c r="E543" s="209"/>
      <c r="F543" s="217" t="str">
        <f t="shared" si="21"/>
        <v>n=1</v>
      </c>
      <c r="G543" s="218"/>
      <c r="H543" s="219"/>
      <c r="I543" s="213" t="s">
        <v>16</v>
      </c>
      <c r="J543" s="220" t="str">
        <f>IF(OR(D517=0,D518="　"),"",MID(F543,3,2))</f>
        <v>1</v>
      </c>
      <c r="K543" s="214">
        <f>IFERROR(D517*J543,"")</f>
        <v>10</v>
      </c>
    </row>
    <row r="544" spans="2:11" ht="12" customHeight="1">
      <c r="B544" s="206" t="str">
        <f>IF(MID(D521,1,3)="のり面","管付","")&amp;"支圧板"</f>
        <v>管付支圧板</v>
      </c>
      <c r="C544" s="221" t="str" cm="1">
        <f t="array" ref="C544">IF(OR(D517=0,D518="　"),"","PL"&amp;IF(MID(D521,1,3)="のり面","P","")&amp;IF(MID(D518,4,1)="5","5-"&amp;_xlfn.SWITCH(1*MID(LEFT(D518, LEN(D518)-1),6,2),1,"1",2,"2",3,"3",4,"4",5,"5",6,"6",7,"7",8,"9",9,"9",10,"10",11,"11",12,"12"),"6-"&amp;_xlfn.SWITCH(1*MID(LEFT(D518, LEN(D518)-1),6,2),1,"1",2,"2",3,"3",4,"4",5,"6",6,"6",7,"7",8,"8",9,"9",10,"10",11,"11",12,"12",13,"14",14,"14"))&amp;"、SS400相当、防食："&amp;_xlfn.IFS(MID(D519,1,3)="防食Ⅱ","HDZT77めっき",MID(D519,5,2)="塩害","ｱﾙﾐﾅｲｽﾞ処理",MID(D519,5,2)="酸性","重防食処理"))</f>
        <v>PLP5-4、SS400相当、防食：HDZT77めっき</v>
      </c>
      <c r="D544" s="208"/>
      <c r="E544" s="209"/>
      <c r="F544" s="217" t="str">
        <f t="shared" si="21"/>
        <v>n=1</v>
      </c>
      <c r="G544" s="218"/>
      <c r="H544" s="219"/>
      <c r="I544" s="213" t="s">
        <v>16</v>
      </c>
      <c r="J544" s="220" t="str">
        <f>IF(OR(D517=0,D518="　"),"",MID(F544,3,2))</f>
        <v>1</v>
      </c>
      <c r="K544" s="214">
        <f>IFERROR(D517*J544,"")</f>
        <v>10</v>
      </c>
    </row>
    <row r="545" spans="2:11" ht="12" customHeight="1">
      <c r="B545" s="206" t="s">
        <v>154</v>
      </c>
      <c r="C545" s="207" t="str">
        <f>IF(OR(D517=0,D518="　"),"","G"&amp;MID(LEFT(D518, LEN(D518)-1),4,4)&amp;"、NBR45相当")</f>
        <v>G5-4、NBR45相当</v>
      </c>
      <c r="D545" s="208"/>
      <c r="E545" s="209"/>
      <c r="F545" s="217" t="str">
        <f t="shared" si="21"/>
        <v>n=1</v>
      </c>
      <c r="G545" s="218"/>
      <c r="H545" s="219"/>
      <c r="I545" s="213" t="s">
        <v>13</v>
      </c>
      <c r="J545" s="220" t="str">
        <f>IF(OR(D517=0,D518="　"),"",MID(F545,3,2))</f>
        <v>1</v>
      </c>
      <c r="K545" s="214">
        <f>IFERROR(D517*J545,"")</f>
        <v>10</v>
      </c>
    </row>
    <row r="546" spans="2:11" ht="12" customHeight="1">
      <c r="B546" s="206" t="str" cm="1">
        <f t="array" ref="B546">_xlfn.IFS(OR(D517=0,D518="　"),"",MID(D520,1,3)="アルミ","頭部防錆油",MID(D520,1,3)&lt;&gt;"アルミ","余長キャップ")</f>
        <v>余長キャップ</v>
      </c>
      <c r="C546" s="221" t="str" cm="1">
        <f t="array" ref="C546">_xlfn.IFS(OR(D517=0,D518="　"),"",MID(D520,1,3)="アルミ","PCコートC",MID(D520,1,3)&lt;&gt;"アルミ","TC"&amp;MID(D518,4,1)&amp;"、高密度ポチエチレン")</f>
        <v>TC5、高密度ポチエチレン</v>
      </c>
      <c r="D546" s="208"/>
      <c r="E546" s="209"/>
      <c r="F546" s="217" t="str" cm="1">
        <f t="array" ref="F546">_xlfn.IFS(OR(D517=0,D518="　"),"",MID(D520,1,3)="アルミ","W="&amp;IF(MID(D518,4,1)="5",_xlfn.SWITCH(1*MID(LEFT(D518, LEN(D518)-1),6,2),1,1.9,2,1.3,3,1.3,4,1.3,5,1.6,6,1.6,7,1.6,8,3.1,9,3.1,10,3.1,11,3.1,12,3.1),"G6"&amp;_xlfn.SWITCH(1*MID(LEFT(D518, LEN(D518)-1),6,2),1,1.8,2,1.3,3,1.8,4,1.8,5,3.3,6,3.3,7,3.3,8,9.9,9,9.9,10,9.9,11,9.9,12,9.9,13,9.9,14,9.9)),MID(D520,1,3)&lt;&gt;"アルミ","n=1")</f>
        <v>n=1</v>
      </c>
      <c r="G546" s="218"/>
      <c r="H546" s="219"/>
      <c r="I546" s="213" t="str" cm="1">
        <f t="array" ref="I546">_xlfn.IFS(OR(D517=0,D518="　"),"",MID(D520,1,3)="アルミ","kg",MID(D520,1,3)&lt;&gt;"アルミ","式")</f>
        <v>式</v>
      </c>
      <c r="J546" s="220" t="str">
        <f>IF(OR(D517=0,D518="　"),"",MID(F546,3,4))</f>
        <v>1</v>
      </c>
      <c r="K546" s="214">
        <f>IFERROR(D517*J546,"")</f>
        <v>10</v>
      </c>
    </row>
    <row r="547" spans="2:11" ht="12" customHeight="1">
      <c r="B547" s="206" t="s">
        <v>9</v>
      </c>
      <c r="C547" s="207" t="str" cm="1">
        <f t="array" ref="C547">IF(OR(D517=0,D518="　"),"",IF(MID(D518,4,1)="5","PS5-"&amp;_xlfn.SWITCH(1*MID(LEFT(D518, LEN(D518)-1),6,2),1,"7",2,"2",3,"3",4,"4",5,"7",6,"7",7,"7",8,"12",9,"12",10,"12",11,"12",12,"12"),"PS6-"&amp;_xlfn.SWITCH(1*MID(LEFT(D518, LEN(D518)-1),6,2),1,"7",2,"2",3,"3",4,"4",5,"7",6,"7",7,"7",8,"12",9,"12",10,"12",11,"12",12,"12",13,"14",14,"14"))&amp;"、高密度ポリエチレン")</f>
        <v>PS5-4、高密度ポリエチレン</v>
      </c>
      <c r="D547" s="208"/>
      <c r="E547" s="209"/>
      <c r="F547" s="217" t="str">
        <f>"n=2"</f>
        <v>n=2</v>
      </c>
      <c r="G547" s="218"/>
      <c r="H547" s="219"/>
      <c r="I547" s="213" t="s">
        <v>13</v>
      </c>
      <c r="J547" s="220" t="str">
        <f>IF(OR(D517=0,D518="　"),"",MID(F547,3,2))</f>
        <v>2</v>
      </c>
      <c r="K547" s="214">
        <f>IFERROR(D517*J547,"")</f>
        <v>20</v>
      </c>
    </row>
    <row r="548" spans="2:11" ht="12" customHeight="1">
      <c r="B548" s="206" t="s">
        <v>2</v>
      </c>
      <c r="C548" s="207" t="str" cm="1">
        <f t="array" ref="C548">IF(OR(D517=0,D518="　"),"",IF(MID(D518,4,1)="5","S5-"&amp;_xlfn.IFS(1*MID(LEFT(D518, LEN(D518)-1),6,2)&lt;6,"5",1*MID(LEFT(D518, LEN(D518)-1),6,2)&lt;9,"8",1*MID(LEFT(D518, LEN(D518)-1),6,2)&gt;8,"12"),"S6-"&amp;_xlfn.IFS(1*MID(LEFT(D518, LEN(D518)-1),6,2)&lt;4,"3",1*MID(LEFT(D518, LEN(D518)-1),6,2)&lt;7,"6",1*MID(LEFT(D518, LEN(D518)-1),6,2)&lt;10,"9",1*MID(LEFT(D518, LEN(D518)-1),6,2)&lt;13,"12",1*MID(LEFT(D518, LEN(D518)-1),6,2)&gt;12,"14"))&amp;"、ポリプロピレン")</f>
        <v>S5-5、ポリプロピレン</v>
      </c>
      <c r="D548" s="208"/>
      <c r="E548" s="209"/>
      <c r="F548" s="222" t="s">
        <v>155</v>
      </c>
      <c r="G548" s="211"/>
      <c r="H548" s="212"/>
      <c r="I548" s="213" t="s">
        <v>13</v>
      </c>
      <c r="J548" s="206">
        <f>IF(OR(D517=0,D518="　"),"",MROUND((D526-0.4)/1,1))</f>
        <v>4</v>
      </c>
      <c r="K548" s="214">
        <f>IFERROR(D517*J548,"")</f>
        <v>40</v>
      </c>
    </row>
    <row r="549" spans="2:11" ht="12" customHeight="1">
      <c r="B549" s="206" t="s">
        <v>1</v>
      </c>
      <c r="C549" s="207" t="str" cm="1">
        <f t="array" ref="C549">IF(OR(D517=0,D518="　"),"",IF(MID(D518,4,1)="5","PC5-"&amp;_xlfn.IFS(1*MID(LEFT(D518, LEN(D518)-1),6,2)&lt;5,"4",1*MID(LEFT(D518, LEN(D518)-1),6,2)&lt;8,"7",1*MID(LEFT(D518, LEN(D518)-1),6,2)&lt;10,"9",1*MID(LEFT(D518, LEN(D518)-1),6,2)&gt;9,"12"),"PC6-"&amp;_xlfn.IFS(1*MID(LEFT(D518, LEN(D518)-1),6,2)&lt;4,"3",1*MID(LEFT(D518, LEN(D518)-1),6,2)&lt;8,"7",1*MID(LEFT(D518, LEN(D518)-1),6,2)&lt;13,"12",1*MID(LEFT(D518, LEN(D518)-1),6,2)&gt;12,"14"))&amp;"、ポリプロピレン")</f>
        <v>PC5-4、ポリプロピレン</v>
      </c>
      <c r="D549" s="208"/>
      <c r="E549" s="209"/>
      <c r="F549" s="217" t="str">
        <f>"n=1"</f>
        <v>n=1</v>
      </c>
      <c r="G549" s="218"/>
      <c r="H549" s="219"/>
      <c r="I549" s="213" t="s">
        <v>13</v>
      </c>
      <c r="J549" s="220" t="str">
        <f>IF(OR(D517=0,D518="　"),"",MID(F549,3,2))</f>
        <v>1</v>
      </c>
      <c r="K549" s="214">
        <f>IFERROR(D517*J549,"")</f>
        <v>10</v>
      </c>
    </row>
    <row r="550" spans="2:11" ht="12" customHeight="1">
      <c r="B550" s="206" t="s">
        <v>3</v>
      </c>
      <c r="C550" s="207" t="str">
        <f>IF(OR(D517=0,D518="　"),"","66ナイロン")</f>
        <v>66ナイロン</v>
      </c>
      <c r="D550" s="208"/>
      <c r="E550" s="209"/>
      <c r="F550" s="222" t="s">
        <v>156</v>
      </c>
      <c r="G550" s="211"/>
      <c r="H550" s="212"/>
      <c r="I550" s="213" t="s">
        <v>14</v>
      </c>
      <c r="J550" s="206">
        <f>IF(OR(D517=0,D518="　"),"",2*J548)</f>
        <v>8</v>
      </c>
      <c r="K550" s="214">
        <f>IFERROR(D517*J550,"")</f>
        <v>80</v>
      </c>
    </row>
    <row r="551" spans="2:11" ht="12" customHeight="1">
      <c r="B551" s="206" t="s">
        <v>4</v>
      </c>
      <c r="C551" s="207" t="str">
        <f>IF(OR(D517=0,D518="　"),"","フィラメントテープ")</f>
        <v>フィラメントテープ</v>
      </c>
      <c r="D551" s="208"/>
      <c r="E551" s="209"/>
      <c r="F551" s="222" t="str">
        <f>IF(OR(D517=0,D518="　"),"","L=((自由長+緊張部長)÷@1.0m)×テープ係数"&amp;IF(MID(D518,4,1)="5",_xlfn.IFS(1*MID(LEFT(D518, LEN(D518)-1),6,2)&lt;4,"0.8",1*MID(LEFT(D518, LEN(D518)-1),6,2)&lt;7,"1.0",1*MID(LEFT(D518, LEN(D518)-1),6,2)&lt;10,"1.2",1*MID(LEFT(D518, LEN(D518)-1),6,2)&lt;13,"1.4"),_xlfn.IFS(1*MID(LEFT(D518, LEN(D518)-1),6,2)&lt;4,"1.0",1*MID(LEFT(D518, LEN(D518)-1),6,2)&lt;7,"1.2",1*MID(LEFT(D518, LEN(D518)-1),6,2)&lt;10,"1.4",1*MID(LEFT(D518, LEN(D518)-1),6,2)&lt;15,"1.8")))</f>
        <v>L=((自由長+緊張部長)÷@1.0m)×テープ係数1.0</v>
      </c>
      <c r="G551" s="211"/>
      <c r="H551" s="212"/>
      <c r="I551" s="213" t="s">
        <v>12</v>
      </c>
      <c r="J551" s="223">
        <f>IF(OR(D517=0,D518="　"),"",MROUND((SUM(D527,D528))/1*RIGHT(F551, 3),0.1))</f>
        <v>5.5</v>
      </c>
      <c r="K551" s="214">
        <f>IFERROR(D517*J551,"")</f>
        <v>55</v>
      </c>
    </row>
    <row r="552" spans="2:11" ht="12" customHeight="1">
      <c r="B552" s="206" t="s">
        <v>0</v>
      </c>
      <c r="C552" s="207" t="str">
        <f>IF(OR(D517=0,D518="　"),"","16/20、高密度ポリエチレン")</f>
        <v>16/20、高密度ポリエチレン</v>
      </c>
      <c r="D552" s="208"/>
      <c r="E552" s="209"/>
      <c r="F552" s="210" t="s">
        <v>33</v>
      </c>
      <c r="G552" s="211"/>
      <c r="H552" s="212"/>
      <c r="I552" s="213" t="s">
        <v>12</v>
      </c>
      <c r="J552" s="214">
        <f>IF(OR(D517=0,D518="　"),"",MROUND(D530,0.1))</f>
        <v>9.7000000000000011</v>
      </c>
      <c r="K552" s="214">
        <f>IFERROR(D517*J552,"")</f>
        <v>97.000000000000014</v>
      </c>
    </row>
    <row r="553" spans="2:11" ht="12" customHeight="1">
      <c r="B553" s="206" t="str" cm="1">
        <f t="array" ref="B553">_xlfn.IFS(OR(D517=0,D518="　",MID(D521,1,2)="なし",MID(D521,1,3)="受圧体"),"",MID(D521,1,3)="のり面","のり面角度台座",MID(D521,1,3)="構造物","構造物壁面台座",MID(D521,1,3)="土留め","土留め台座")</f>
        <v>のり面角度台座</v>
      </c>
      <c r="C553" s="210" t="str" cm="1">
        <f t="array" ref="C553">IF(OR(D517=0,D518="　",MID(D521,1,2)="なし",MID(D521,1,3)="受圧体"),"",_xlfn.IFS(MID(D521,1,3)="のり面",IF(1*MID(D518,4,1)=5,_xlfn.IFS(1*MID(LEFT(D518, LEN(D518)-1),6,2)&lt;5,"ST140",1*MID(LEFT(D518, LEN(D518)-1),6,2)&lt;8,"ST170",1*MID(LEFT(D518, LEN(D518)-1),6,2)&lt;13,"ST220"),_xlfn.IFS(1*MID(LEFT(D518, LEN(D518)-1),6,2)&lt;4,"ST140",1*MID(LEFT(D518, LEN(D518)-1),6,2)&lt;5,"ST170",1*MID(LEFT(D518, LEN(D518)-1),6,2)&lt;8,"ST220",1*MID(LEFT(D518, LEN(D518)-1),6,2)&lt;15,"非該当"))&amp;"、FCD450相当、防食："&amp;_xlfn.IFS(MID(D519,1,3)="防食Ⅱ","HDZT77めっき",MID(D519,5,2)="塩害","ｱﾙﾐﾅｲｽﾞ処理",MID(D519,5,2)="酸性","重防食処理"),OR(MID(D521,1,3)="構造物",MID(D521,1,3)="土留め"),D518&amp;"用"&amp;IF(OR(MID(D521,1,3)="構造物",D522="　"),"",D522)&amp;"、防食："&amp;_xlfn.IFS(MID(D519,1,3)="防食Ⅱ","HDZT77めっき",MID(D519,5,2)="塩害","ｱﾙﾐﾅｲｽﾞ処理",MID(D519,5,2)="酸性","重防食処理")))</f>
        <v>ST140、FCD450相当、防食：HDZT77めっき</v>
      </c>
      <c r="D553" s="208"/>
      <c r="E553" s="209"/>
      <c r="F553" s="217" t="str">
        <f>IF(OR(D521="なし",D521="受圧体のみ"),"","n=1")</f>
        <v>n=1</v>
      </c>
      <c r="G553" s="218"/>
      <c r="H553" s="219"/>
      <c r="I553" s="213" t="str">
        <f>IF(OR(D517=0,D518="　",B553=""),"","台")</f>
        <v>台</v>
      </c>
      <c r="J553" s="220" t="str">
        <f>IF(OR(D517=0,D518="　"),"",MID(F553,3,2))</f>
        <v>1</v>
      </c>
      <c r="K553" s="214">
        <f>IFERROR(D517*J553,"")</f>
        <v>10</v>
      </c>
    </row>
    <row r="554" spans="2:11" ht="12" customHeight="1">
      <c r="B554" s="206" t="str">
        <f>IF(OR(D517=0,D518="　",MID(D521,1,3)&lt;&gt;"のり面"),"","補剛板")</f>
        <v>補剛板</v>
      </c>
      <c r="C554" s="210" t="str" cm="1">
        <f t="array" ref="C554">IF(OR(D517=0,D518="　",MID(D521,1,3)&lt;&gt;"のり面"),"",IF(MID(D518,4,1)="5","□"&amp;_xlfn.SWITCH(1*MID(LEFT(D518, LEN(D518)-1),6,2),1,"210φ131t12",2,"210φ131t12",3,"240φ131t12",4,"270φ131t12",5,"280φ143t12",6,"310φ143t16",7,"350φ143t19",8,"350φ180t19",9,"350φ180t19",10,"350φ180t19",11,"350φ180t22",12,"350φ180t22"),"□"&amp;_xlfn.SWITCH(1*MID(LEFT(D518, LEN(D518)-1),6,2),1,"210,φ131,t12",2,"240,φ131,t12",3,"270,φ131,t16",4,"300,φ143,t16",5,"350,φ180,t16",6,"350,φ180,t16",7,"350,φ180,t19",8,"400,φ──,t12",9,"400,φ──,t12",10,"400,φ──,t12",11,"400,φ──,t12",12,"400,φ──,t12",13,"400,φ──,t12",14,"400,φ──,t12"))&amp;"、SS400相当、防食："&amp;_xlfn.IFS(MID(D519,1,3)="防食Ⅱ","HDZT77めっき",MID(D519,5,2)="塩害","ｱﾙﾐﾅｲｽﾞ処理",MID(D519,5,2)="酸性","重防食処理"))</f>
        <v>□270φ131t12、SS400相当、防食：HDZT77めっき</v>
      </c>
      <c r="D554" s="208"/>
      <c r="E554" s="209"/>
      <c r="F554" s="217" t="str">
        <f>IF(OR(D517=0,D518="　",MID(D521,1,3)&lt;&gt;"のり面"),"","n=1")</f>
        <v>n=1</v>
      </c>
      <c r="G554" s="218"/>
      <c r="H554" s="219"/>
      <c r="I554" s="213" t="str">
        <f>IF(OR(D517=0,D518="　",B554="",MID(D521,1,3)&lt;&gt;"のり面"),"","枚")</f>
        <v>枚</v>
      </c>
      <c r="J554" s="220" t="str">
        <f>IF(OR(D517=0,D518="　"),"",MID(F554,3,2))</f>
        <v>1</v>
      </c>
      <c r="K554" s="214">
        <f>IFERROR(D517*J554,"")</f>
        <v>10</v>
      </c>
    </row>
    <row r="555" spans="2:11" ht="12" customHeight="1">
      <c r="B555" s="206" t="str" cm="1">
        <f t="array" ref="B555">_xlfn.IFS(OR(D517=0,D518="　"),"",MID(D520,1,3)="アルミ","",MID(D520,1,3)&lt;&gt;"アルミ","テンドン補修用塗料")</f>
        <v>テンドン補修用塗料</v>
      </c>
      <c r="C555" s="210" t="str" cm="1">
        <f t="array" ref="C555">_xlfn.IFS(OR(D517=0,D518="　"),"",MID(D520,1,3)="アルミ","",MID(D520,1,3)&lt;&gt;"アルミ","エポキシ樹脂")</f>
        <v>エポキシ樹脂</v>
      </c>
      <c r="D555" s="208"/>
      <c r="E555" s="209"/>
      <c r="F555" s="217" t="str" cm="1">
        <f t="array" ref="F555">_xlfn.IFS(OR(D517=0,D518="　"),"",MID(D520,1,3)="アルミ","",MID(D520,1,3)&lt;&gt;"アルミ","W=PC鋼より線本数×"&amp;IF(MID(D518,4,1)="5","0.28","0.40"))</f>
        <v>W=PC鋼より線本数×0.28</v>
      </c>
      <c r="G555" s="218"/>
      <c r="H555" s="219"/>
      <c r="I555" s="213" t="str" cm="1">
        <f t="array" ref="I555">_xlfn.IFS(OR(D517=0,D518="　"),"",MID(D520,1,3)="アルミ","",MID(D520,1,3)&lt;&gt;"アルミ","g")</f>
        <v>g</v>
      </c>
      <c r="J555" s="224" cm="1">
        <f t="array" ref="J555">_xlfn.IFS(OR(D517=0,D518="　"),"",MID(D520,1,3)="アルミ","",MID(D520,1,3)&lt;&gt;"アルミ",MID(LEFT(D518, LEN(D518)-1),6,2)*IF(MID(D518,4,1)="5",0.28,0.4))</f>
        <v>1.1200000000000001</v>
      </c>
      <c r="K555" s="214">
        <f>IFERROR(D517*J555,"")</f>
        <v>11.200000000000001</v>
      </c>
    </row>
    <row r="556" spans="2:11" ht="12" customHeight="1">
      <c r="B556" s="206" t="str" cm="1">
        <f t="array" ref="B556">_xlfn.IFS(OR(D517=0,D518="　"),"",MID(D520,1,3)="アルミ","",MID(D520,1,3)&lt;&gt;"アルミ","長期防錆スプレー")</f>
        <v>長期防錆スプレー</v>
      </c>
      <c r="C556" s="210" t="str" cm="1">
        <f t="array" ref="C556">_xlfn.IFS(OR(D517=0,D518="　"),"",MID(D520,1,3)="アルミ","",MID(D520,1,3)&lt;&gt;"アルミ","防錆オイル")</f>
        <v>防錆オイル</v>
      </c>
      <c r="D556" s="208"/>
      <c r="E556" s="209"/>
      <c r="F556" s="217" t="str" cm="1">
        <f t="array" ref="F556">_xlfn.IFS(OR(D517=0,D518="　"),"",MID(D520,1,3)="アルミ","",MID(D520,1,3)&lt;&gt;"アルミ","n=0.01×(PC鋼より線本数+"&amp;IF(MID(D518,4,1)="5","6","12")&amp;")")</f>
        <v>n=0.01×(PC鋼より線本数+6)</v>
      </c>
      <c r="G556" s="218"/>
      <c r="H556" s="219"/>
      <c r="I556" s="213" t="str" cm="1">
        <f t="array" ref="I556">_xlfn.IFS(OR(D517=0,D518="　"),"",MID(D520,1,3)="アルミ","",MID(D520,1,3)&lt;&gt;"アルミ","缶")</f>
        <v>缶</v>
      </c>
      <c r="J556" s="224" cm="1">
        <f t="array" ref="J556">_xlfn.IFS(OR(D517=0,D518="　"),"",MID(D520,1,3)="アルミ","",MID(D520,1,3)&lt;&gt;"アルミ",0.01*(MID(LEFT(D518, LEN(D518)-1),6,2)+IF(MID(D518,4,1)="5",6,12)))</f>
        <v>0.1</v>
      </c>
      <c r="K556" s="214">
        <f>IFERROR(D517*J556,"")</f>
        <v>1</v>
      </c>
    </row>
    <row r="557" spans="2:11" ht="12" customHeight="1">
      <c r="B557" s="206" t="str">
        <f>IF(OR(D517=0,D518="　",D523="なし"),"","フリーパッカー注入ホース")</f>
        <v/>
      </c>
      <c r="C557" s="207" t="str">
        <f>IF(OR(D517=0,D518="　",B557=""),"","16/20、高密度ポリエチレン")</f>
        <v/>
      </c>
      <c r="D557" s="208"/>
      <c r="E557" s="209"/>
      <c r="F557" s="210" t="str">
        <f>IF(B557="","","L=自由長+緊張部長")</f>
        <v/>
      </c>
      <c r="G557" s="211"/>
      <c r="H557" s="212"/>
      <c r="I557" s="213" t="str">
        <f>IF(OR(D517=0,D518="　",B557=""),"","m")</f>
        <v/>
      </c>
      <c r="J557" s="214" t="str">
        <f>IF(OR(D517=0,D518="　"),"",IF(B557="","",MROUND(D527+D528,0.1)))</f>
        <v/>
      </c>
      <c r="K557" s="214" t="str">
        <f>IFERROR(D517*J557,"")</f>
        <v/>
      </c>
    </row>
    <row r="558" spans="2:11" ht="12" customHeight="1">
      <c r="B558" s="225" t="str">
        <f>IF(OR(D517=0,D518="　",D523="なし"),"","フリーパッカー")</f>
        <v/>
      </c>
      <c r="C558" s="217" t="str" cm="1">
        <f t="array" ref="C558">IF(OR(D517=0,D518="　",B557=""),"",_xlfn.SWITCH(D532,90,"PA-170",115,"PA-200",135,"PA-240",146,"PA-240",165,"PA-350")&amp;"、織布")</f>
        <v/>
      </c>
      <c r="D558" s="208"/>
      <c r="E558" s="209"/>
      <c r="F558" s="226" t="str">
        <f>IF(B558="","","L=自由長+0.5m")</f>
        <v/>
      </c>
      <c r="G558" s="227"/>
      <c r="H558" s="228"/>
      <c r="I558" s="213" t="str">
        <f>IF(OR(D518=0,D519="　",B558=""),"","m")</f>
        <v/>
      </c>
      <c r="J558" s="214" t="str">
        <f>IF(OR(D517=0,D518="　"),"",IF(B558="","",MROUND(D527+0.5,0.1)))</f>
        <v/>
      </c>
      <c r="K558" s="214" t="str">
        <f>IFERROR(D517*J558,"")</f>
        <v/>
      </c>
    </row>
    <row r="559" spans="2:11" ht="12" customHeight="1">
      <c r="B559" s="206" t="str">
        <f>IF(OR(D517=0,D518="　",D523="なし"),"","パッカー取付加工")</f>
        <v/>
      </c>
      <c r="C559" s="207"/>
      <c r="D559" s="208"/>
      <c r="E559" s="209"/>
      <c r="F559" s="217" t="str">
        <f>IF(B559="","","n=1")</f>
        <v/>
      </c>
      <c r="G559" s="218"/>
      <c r="H559" s="219"/>
      <c r="I559" s="213" t="str">
        <f>IF(OR(D519=0,D520="　",B559=""),"","式")</f>
        <v/>
      </c>
      <c r="J559" s="220" t="str">
        <f>IF(OR(D517=0,D518="　"),"",MID(F559,3,2))</f>
        <v/>
      </c>
      <c r="K559" s="206" t="str">
        <f>IFERROR(D517*J559,"")</f>
        <v/>
      </c>
    </row>
    <row r="560" spans="2:11" ht="12" customHeight="1">
      <c r="B560" s="229"/>
      <c r="C560" s="230"/>
      <c r="D560" s="231"/>
      <c r="E560" s="232"/>
      <c r="F560" s="233"/>
      <c r="G560" s="234"/>
      <c r="H560" s="235"/>
      <c r="I560" s="236"/>
      <c r="J560" s="237"/>
      <c r="K560" s="229"/>
    </row>
    <row r="561" spans="2:11" ht="12" customHeight="1">
      <c r="B561" s="238" t="s">
        <v>30</v>
      </c>
      <c r="C561" s="239" t="s">
        <v>31</v>
      </c>
      <c r="D561" s="240"/>
      <c r="E561" s="241"/>
      <c r="F561" s="242" t="s">
        <v>157</v>
      </c>
      <c r="G561" s="243"/>
      <c r="H561" s="244"/>
      <c r="I561" s="245" t="s">
        <v>55</v>
      </c>
      <c r="J561" s="246">
        <f>IFERROR(MROUND(0.25*PI()*(0.001*D532)^2*(D525+D526+D531)*(1+2.2),0.01),"")</f>
        <v>0.17</v>
      </c>
      <c r="K561" s="246">
        <f>IFERROR(D517*J561,"")</f>
        <v>1.7000000000000002</v>
      </c>
    </row>
    <row r="563" spans="2:11" ht="12" customHeight="1">
      <c r="B563" s="247" t="s">
        <v>136</v>
      </c>
      <c r="C563" s="247"/>
      <c r="D563" s="247"/>
      <c r="F563" s="163"/>
      <c r="G563" s="164"/>
      <c r="H563" s="164"/>
    </row>
    <row r="564" spans="2:11" ht="12" customHeight="1">
      <c r="B564" s="15" t="s">
        <v>111</v>
      </c>
      <c r="C564" s="15"/>
      <c r="D564" s="1"/>
      <c r="E564" s="1"/>
      <c r="H564" s="119"/>
      <c r="J564" s="118"/>
    </row>
    <row r="565" spans="2:11" ht="12" customHeight="1">
      <c r="B565" s="165" t="s">
        <v>166</v>
      </c>
      <c r="C565" s="3"/>
      <c r="D565" s="1"/>
      <c r="E565" s="1"/>
      <c r="F565" s="8"/>
      <c r="G565" s="8"/>
      <c r="H565" s="102"/>
      <c r="I565" s="28"/>
      <c r="J565" s="118"/>
    </row>
    <row r="566" spans="2:11" ht="12" customHeight="1">
      <c r="B566" s="15" t="s">
        <v>40</v>
      </c>
      <c r="C566" s="3"/>
      <c r="D566" s="1"/>
      <c r="E566" s="1"/>
      <c r="F566" s="15" t="s">
        <v>54</v>
      </c>
      <c r="G566" s="15"/>
      <c r="H566" s="102"/>
      <c r="I566" s="28"/>
    </row>
    <row r="567" spans="2:11" ht="12" customHeight="1">
      <c r="B567" s="2" t="s">
        <v>53</v>
      </c>
      <c r="C567" s="2" t="s">
        <v>21</v>
      </c>
      <c r="D567" s="2" t="s">
        <v>22</v>
      </c>
      <c r="E567" s="17"/>
      <c r="F567" s="49" t="s">
        <v>41</v>
      </c>
      <c r="G567" s="97" t="s">
        <v>59</v>
      </c>
      <c r="H567" s="49" t="s">
        <v>44</v>
      </c>
      <c r="I567" s="2" t="s">
        <v>21</v>
      </c>
      <c r="J567" s="49" t="s">
        <v>138</v>
      </c>
      <c r="K567" s="2" t="s">
        <v>28</v>
      </c>
    </row>
    <row r="568" spans="2:11" ht="12" customHeight="1">
      <c r="B568" s="166" t="s">
        <v>25</v>
      </c>
      <c r="C568" s="18" t="s">
        <v>24</v>
      </c>
      <c r="D568" s="167">
        <v>10</v>
      </c>
      <c r="E568" s="19"/>
      <c r="F568" s="168" t="s">
        <v>43</v>
      </c>
      <c r="G568" s="169" t="s">
        <v>113</v>
      </c>
      <c r="H568" s="88" t="str" cm="1">
        <f t="array" ref="H568">_xlfn.IFS(AND(F568&lt;&gt;"非削孔",F568&lt;&gt;"無設定"),D583,F568="非削孔",IF(MID(D572,1,3)="土留め","非削孔","箱抜き"),F568="無設定","無設定")</f>
        <v>箱抜き</v>
      </c>
      <c r="I568" s="23" t="str">
        <f>IF(F568="無設定","","m")</f>
        <v>m</v>
      </c>
      <c r="J568" s="170">
        <v>0.5</v>
      </c>
      <c r="K568" s="30">
        <f>D568*J568</f>
        <v>5</v>
      </c>
    </row>
    <row r="569" spans="2:11" ht="12" customHeight="1">
      <c r="B569" s="171" t="s">
        <v>37</v>
      </c>
      <c r="C569" s="50" t="s">
        <v>38</v>
      </c>
      <c r="D569" s="172" t="s">
        <v>159</v>
      </c>
      <c r="E569" s="173"/>
      <c r="F569" s="174" t="s">
        <v>49</v>
      </c>
      <c r="G569" s="169" t="s">
        <v>114</v>
      </c>
      <c r="H569" s="88" cm="1">
        <f t="array" ref="H569">_xlfn.IFS(AND(F569&lt;&gt;"非削孔",F569&lt;&gt;"無設定"),D583,F569="非削孔","箱抜き",F569="無設定","無設定")</f>
        <v>90</v>
      </c>
      <c r="I569" s="23" t="str">
        <f t="shared" ref="I569:I577" si="22">IF(F569="無設定","","m")</f>
        <v>m</v>
      </c>
      <c r="J569" s="170">
        <v>2.64</v>
      </c>
      <c r="K569" s="30">
        <f>D568*J569</f>
        <v>26.400000000000002</v>
      </c>
    </row>
    <row r="570" spans="2:11" ht="12" customHeight="1">
      <c r="B570" s="52" t="s">
        <v>39</v>
      </c>
      <c r="C570" s="91" t="s">
        <v>38</v>
      </c>
      <c r="D570" s="175" t="s">
        <v>60</v>
      </c>
      <c r="E570" s="140"/>
      <c r="F570" s="174" t="s">
        <v>49</v>
      </c>
      <c r="G570" s="169" t="s">
        <v>115</v>
      </c>
      <c r="H570" s="88" cm="1">
        <f t="array" ref="H570">_xlfn.IFS(AND(F570&lt;&gt;"非削孔",F570&lt;&gt;"無設定"),D583,F570="非削孔","箱抜き",F570="無設定","無設定")</f>
        <v>90</v>
      </c>
      <c r="I570" s="23" t="str">
        <f t="shared" si="22"/>
        <v>m</v>
      </c>
      <c r="J570" s="170">
        <v>5.36</v>
      </c>
      <c r="K570" s="30">
        <f>D568*J570</f>
        <v>53.6</v>
      </c>
    </row>
    <row r="571" spans="2:11" ht="12" customHeight="1">
      <c r="B571" s="147" t="s">
        <v>140</v>
      </c>
      <c r="C571" s="91" t="s">
        <v>38</v>
      </c>
      <c r="D571" s="176" t="s">
        <v>141</v>
      </c>
      <c r="E571" s="141"/>
      <c r="F571" s="174" t="s">
        <v>48</v>
      </c>
      <c r="G571" s="169"/>
      <c r="H571" s="88" t="str" cm="1">
        <f t="array" ref="H571">_xlfn.IFS(AND(F571&lt;&gt;"非削孔",F571&lt;&gt;"無設定"),D583,F571="非削孔","箱抜き",F571="無設定","無設定")</f>
        <v>無設定</v>
      </c>
      <c r="I571" s="23" t="str">
        <f t="shared" si="22"/>
        <v/>
      </c>
      <c r="J571" s="170">
        <v>0</v>
      </c>
      <c r="K571" s="30">
        <f>D568*J571</f>
        <v>0</v>
      </c>
    </row>
    <row r="572" spans="2:11" ht="12" customHeight="1">
      <c r="B572" s="147" t="s">
        <v>142</v>
      </c>
      <c r="C572" s="91" t="s">
        <v>38</v>
      </c>
      <c r="D572" s="177" t="s">
        <v>160</v>
      </c>
      <c r="E572" s="21"/>
      <c r="F572" s="174" t="s">
        <v>48</v>
      </c>
      <c r="G572" s="169"/>
      <c r="H572" s="88" t="str" cm="1">
        <f t="array" ref="H572">_xlfn.IFS(AND(F572&lt;&gt;"非削孔",F572&lt;&gt;"無設定"),D583,F572="非削孔","箱抜き",F572="無設定","無設定")</f>
        <v>無設定</v>
      </c>
      <c r="I572" s="23" t="str">
        <f t="shared" si="22"/>
        <v/>
      </c>
      <c r="J572" s="170">
        <v>0</v>
      </c>
      <c r="K572" s="30">
        <f>D568*J572</f>
        <v>0</v>
      </c>
    </row>
    <row r="573" spans="2:11" ht="12" customHeight="1">
      <c r="B573" s="114" t="str">
        <f>IF(MID(D572,1,3)="土留め",D572&amp;"の種類","")</f>
        <v/>
      </c>
      <c r="C573" s="91" t="s">
        <v>38</v>
      </c>
      <c r="D573" s="178" t="s">
        <v>71</v>
      </c>
      <c r="E573" s="21"/>
      <c r="F573" s="174" t="s">
        <v>48</v>
      </c>
      <c r="G573" s="169"/>
      <c r="H573" s="88" t="str" cm="1">
        <f t="array" ref="H573">_xlfn.IFS(AND(F573&lt;&gt;"非削孔",F573&lt;&gt;"無設定"),D583,F573="非削孔","箱抜き",F573="無設定","無設定")</f>
        <v>無設定</v>
      </c>
      <c r="I573" s="23" t="str">
        <f t="shared" si="22"/>
        <v/>
      </c>
      <c r="J573" s="170">
        <v>0</v>
      </c>
      <c r="K573" s="30">
        <f>D568*J573</f>
        <v>0</v>
      </c>
    </row>
    <row r="574" spans="2:11" ht="12" customHeight="1">
      <c r="B574" s="179" t="s">
        <v>50</v>
      </c>
      <c r="C574" s="180" t="s">
        <v>38</v>
      </c>
      <c r="D574" s="181" t="s">
        <v>51</v>
      </c>
      <c r="E574" s="182"/>
      <c r="F574" s="174" t="s">
        <v>48</v>
      </c>
      <c r="G574" s="169"/>
      <c r="H574" s="88" t="str" cm="1">
        <f t="array" ref="H574">_xlfn.IFS(AND(F574&lt;&gt;"非削孔",F574&lt;&gt;"無設定"),D583,F574="非削孔","箱抜き",F574="無設定","無設定")</f>
        <v>無設定</v>
      </c>
      <c r="I574" s="23" t="str">
        <f t="shared" si="22"/>
        <v/>
      </c>
      <c r="J574" s="170">
        <v>0</v>
      </c>
      <c r="K574" s="30">
        <f>D568*J574</f>
        <v>0</v>
      </c>
    </row>
    <row r="575" spans="2:11" ht="12" customHeight="1">
      <c r="B575" s="160" t="str" cm="1">
        <f t="array" ref="B575">"頭部自由長"&amp;_xlfn.IFS(MID(D572,1,2)="なし","",MID(D572,1,3)="受圧体","(受圧体)",MID(D572,1,3)="のり面","(角度台座＋受圧体)",MID(D572,1,3)="構造物","(壁面台座)",MID(D572,1,3)="土留め","(台座+腹起し)")&amp;"　Lfh"</f>
        <v>頭部自由長(角度台座＋受圧体)　Lfh</v>
      </c>
      <c r="C575" s="155" t="s">
        <v>23</v>
      </c>
      <c r="D575" s="183">
        <v>0.5</v>
      </c>
      <c r="E575" s="21"/>
      <c r="F575" s="174" t="s">
        <v>144</v>
      </c>
      <c r="G575" s="169"/>
      <c r="H575" s="88" cm="1">
        <f t="array" ref="H575">_xlfn.IFS(AND(F575&lt;&gt;"非削孔",F575&lt;&gt;"無設定"),D583,F575="非削孔","箱抜き",F575="無設定","無設定")</f>
        <v>90</v>
      </c>
      <c r="I575" s="23" t="str">
        <f t="shared" si="22"/>
        <v>m</v>
      </c>
      <c r="J575" s="170">
        <v>0</v>
      </c>
      <c r="K575" s="30">
        <f>D568*J575</f>
        <v>0</v>
      </c>
    </row>
    <row r="576" spans="2:11" ht="12" customHeight="1">
      <c r="B576" s="22" t="s">
        <v>108</v>
      </c>
      <c r="C576" s="23" t="s">
        <v>23</v>
      </c>
      <c r="D576" s="184">
        <v>4</v>
      </c>
      <c r="E576" s="21"/>
      <c r="F576" s="174" t="s">
        <v>48</v>
      </c>
      <c r="G576" s="169"/>
      <c r="H576" s="88" t="str" cm="1">
        <f t="array" ref="H576">_xlfn.IFS(AND(F576&lt;&gt;"非削孔",F576&lt;&gt;"無設定"),D583,F576="非削孔","箱抜き",F576="無設定","無設定")</f>
        <v>無設定</v>
      </c>
      <c r="I576" s="23" t="str">
        <f t="shared" si="22"/>
        <v/>
      </c>
      <c r="J576" s="170">
        <v>0</v>
      </c>
      <c r="K576" s="30">
        <f>D568*J576</f>
        <v>0</v>
      </c>
    </row>
    <row r="577" spans="2:11" ht="12" customHeight="1">
      <c r="B577" s="157" t="s">
        <v>36</v>
      </c>
      <c r="C577" s="158" t="s">
        <v>23</v>
      </c>
      <c r="D577" s="185">
        <v>4</v>
      </c>
      <c r="F577" s="186" t="str" cm="1">
        <f t="array" ref="F577">INDEX(F568:H576,MATCH("無設定",F568:F576,0)-1,MATCH(F567,F567:H567,0))</f>
        <v>軟　岩</v>
      </c>
      <c r="G577" s="100" t="str" cm="1">
        <f t="array" ref="G577">INDEX(F568:H576,MATCH("無設定",F568:F576,0)-1,MATCH(G567,F567:H567,0))&amp;"　(先端長 L2d)"</f>
        <v>風化岩 CL　(先端長 L2d)</v>
      </c>
      <c r="H577" s="88" cm="1">
        <f t="array" ref="H577">INDEX(F568:H576,MATCH("無設定",F568:F576,0)-1,MATCH(H567,F567:H567,0))</f>
        <v>90</v>
      </c>
      <c r="I577" s="23" t="str">
        <f t="shared" si="22"/>
        <v>m</v>
      </c>
      <c r="J577" s="98">
        <f>D582</f>
        <v>0.25</v>
      </c>
      <c r="K577" s="78">
        <f>IFERROR(D568*J577,"")</f>
        <v>2.5</v>
      </c>
    </row>
    <row r="578" spans="2:11" ht="12" customHeight="1">
      <c r="B578" s="154" t="s">
        <v>145</v>
      </c>
      <c r="C578" s="155" t="s">
        <v>23</v>
      </c>
      <c r="D578" s="187">
        <f>IF(OR(D568=0,D569="　"),"──",SUM(D575:D576))</f>
        <v>4.5</v>
      </c>
      <c r="E578" s="19"/>
      <c r="F578" s="188"/>
      <c r="G578" s="75" t="s">
        <v>124</v>
      </c>
      <c r="H578" s="103"/>
      <c r="I578" s="18" t="s">
        <v>23</v>
      </c>
      <c r="J578" s="74">
        <f>SUMIFS(J568:J577,F568:F577,"&lt;&gt;非削孔",F568:F577,"&lt;&gt;無設定")</f>
        <v>8.25</v>
      </c>
      <c r="K578" s="95">
        <f>SUMIFS(K568:K577,F568:F577,"&lt;&gt;非削孔",F568:F577,"&lt;&gt;無設定")</f>
        <v>82.5</v>
      </c>
    </row>
    <row r="579" spans="2:11" ht="12" customHeight="1">
      <c r="B579" s="146" t="s">
        <v>146</v>
      </c>
      <c r="C579" s="23" t="s">
        <v>23</v>
      </c>
      <c r="D579" s="189" cm="1">
        <f t="array" ref="D579">IF(OR(D568=0,D569="　"),"──",IF(MID(D569,4,1)="5",_xlfn.IFS(1*MID(LEFT(D569, LEN(D569)-1),6,2)&lt;8,1,1*MID(LEFT(D569, LEN(D569)-1),6,2)&lt;13,1.2),_xlfn.IFS(1*MID(LEFT(D569, LEN(D569)-1),6,2)&lt;6,1,1*MID(LEFT(D569, LEN(D569)-1),6,2)&lt;15,1.2)))</f>
        <v>1</v>
      </c>
      <c r="E579" s="19"/>
      <c r="F579" s="190"/>
      <c r="G579" s="76" t="s">
        <v>47</v>
      </c>
      <c r="H579" s="104"/>
      <c r="I579" s="79" t="s">
        <v>46</v>
      </c>
      <c r="J579" s="77" t="str">
        <f>IF(OR(D568=0,D569="　"),"",IF(SUM(D576:D577,D582)=J578,"OK","NG"))</f>
        <v>OK</v>
      </c>
      <c r="K579" s="145" t="str">
        <f>IF(J579&lt;&gt;"NG","──",J578-SUM(D576:D577,D582))</f>
        <v>──</v>
      </c>
    </row>
    <row r="580" spans="2:11" ht="12" customHeight="1">
      <c r="B580" s="22" t="s">
        <v>125</v>
      </c>
      <c r="C580" s="23" t="s">
        <v>35</v>
      </c>
      <c r="D580" s="84">
        <f>IF(OR(D568=0,D569="　"),"──",0.2)</f>
        <v>0.2</v>
      </c>
      <c r="F580" s="191" t="s">
        <v>58</v>
      </c>
      <c r="G580" s="248" t="s">
        <v>110</v>
      </c>
      <c r="H580" s="249"/>
      <c r="I580" s="249"/>
      <c r="J580" s="249"/>
      <c r="K580" s="250"/>
    </row>
    <row r="581" spans="2:11" ht="12" customHeight="1">
      <c r="B581" s="6" t="s">
        <v>147</v>
      </c>
      <c r="C581" s="23" t="s">
        <v>23</v>
      </c>
      <c r="D581" s="60">
        <f>IF(OR(D568=0,D569="　"),"──",SUM(D577:D580))</f>
        <v>9.6999999999999993</v>
      </c>
    </row>
    <row r="582" spans="2:11" ht="12" customHeight="1">
      <c r="B582" s="25" t="s">
        <v>127</v>
      </c>
      <c r="C582" s="26" t="s">
        <v>23</v>
      </c>
      <c r="D582" s="27">
        <f>IF(OR(D568=0,D569="　"),"──",0.25)</f>
        <v>0.25</v>
      </c>
      <c r="F582" s="8"/>
      <c r="G582" s="8"/>
      <c r="H582" s="102"/>
    </row>
    <row r="583" spans="2:11" ht="12" customHeight="1">
      <c r="B583" s="95" t="s">
        <v>123</v>
      </c>
      <c r="C583" s="18" t="s">
        <v>32</v>
      </c>
      <c r="D583" s="192">
        <v>90</v>
      </c>
      <c r="E583" s="193" t="str">
        <f>IF(D583&lt;D584,"NG：削孔径不適合","")</f>
        <v/>
      </c>
      <c r="F583" s="8"/>
      <c r="G583" s="8"/>
      <c r="H583" s="102"/>
    </row>
    <row r="584" spans="2:11" ht="12" customHeight="1">
      <c r="B584" s="25" t="s">
        <v>122</v>
      </c>
      <c r="C584" s="26" t="s">
        <v>32</v>
      </c>
      <c r="D584" s="194" cm="1">
        <f t="array" ref="D584">IF(OR(D568=0,D569="　"),"──",IF(D574="なし",IF(MID(D569,4,1)="5",_xlfn.IFS(1*MID(LEFT(D569, LEN(D569)-1),6,2)&lt;6,90,1*MID(LEFT(D569, LEN(D569)-1),6,2)&lt;9,115,1*MID(LEFT(D569, LEN(D569)-1),6,2)&gt;8,135),_xlfn.IFS(1*MID(LEFT(D569, LEN(D569)-1),6,2)&lt;4,90,1*MID(LEFT(D569, LEN(D569)-1),6,2)&lt;7,115,1*MID(LEFT(D569, LEN(D569)-1),6,2)&lt;10,135,1*MID(LEFT(D569, LEN(D569)-1),6,2)&lt;13,146,1*MID(LEFT(D569, LEN(D569)-1),6,2)&gt;12,165)),IF(MID(D569,4,1)="5",_xlfn.IFS(1*MID(LEFT(D569, LEN(D569)-1),6,2)&lt;3,90,1*MID(LEFT(D569, LEN(D569)-1),6,2)&lt;7,115,1*MID(LEFT(D569, LEN(D569)-1),6,2)&lt;9,135,1*MID(LEFT(D569, LEN(D569)-1),6,2)&gt;8,146),_xlfn.IFS(1*MID(LEFT(D569, LEN(D569)-1),6,2)&lt;3,90,1*MID(LEFT(D569, LEN(D569)-1),6,2)&lt;4,115,1*MID(LEFT(D569, LEN(D569)-1),6,2)&lt;6,135,1*MID(LEFT(D569, LEN(D569)-1),6,2)&lt;10,146,1*MID(LEFT(D569, LEN(D569)-1),6,2)&lt;13,165,1*MID(LEFT(D569, LEN(D569)-1),6,2)&gt;12,216))))</f>
        <v>90</v>
      </c>
      <c r="E584" s="195"/>
      <c r="F584" s="8"/>
      <c r="G584" s="8"/>
      <c r="H584" s="102"/>
    </row>
    <row r="585" spans="2:11" ht="12" customHeight="1">
      <c r="B585" s="20"/>
      <c r="C585" s="46"/>
      <c r="D585" s="117"/>
      <c r="F585" s="8"/>
      <c r="G585" s="8"/>
      <c r="H585" s="102"/>
    </row>
    <row r="586" spans="2:11" ht="12" customHeight="1">
      <c r="B586" s="15" t="str">
        <f>"■"&amp;MID(B563,2,14)</f>
        <v>■本設：EHDアンカーHP工法</v>
      </c>
      <c r="C586" s="3"/>
      <c r="D586" s="1"/>
      <c r="E586" s="1"/>
      <c r="F586" s="8"/>
      <c r="G586" s="8"/>
      <c r="H586" s="102"/>
    </row>
    <row r="587" spans="2:11" ht="12" customHeight="1">
      <c r="B587" s="2" t="s">
        <v>17</v>
      </c>
      <c r="C587" s="43"/>
      <c r="D587" s="196" t="s">
        <v>148</v>
      </c>
      <c r="E587" s="135"/>
      <c r="F587" s="16"/>
      <c r="G587" s="61" t="s">
        <v>42</v>
      </c>
      <c r="H587" s="97"/>
      <c r="I587" s="2" t="s">
        <v>21</v>
      </c>
      <c r="J587" s="49" t="s">
        <v>149</v>
      </c>
      <c r="K587" s="2" t="s">
        <v>28</v>
      </c>
    </row>
    <row r="588" spans="2:11" ht="12" customHeight="1">
      <c r="B588" s="197" t="s">
        <v>150</v>
      </c>
      <c r="C588" s="198" t="str">
        <f>IF(OR(D568=0,D569="　"),"",D569&amp;" ("&amp;MID(LEFT(D569, LEN(D569)-1),6,2)&amp;IF(MID(D569,4,1)="5","φ12.7","φ15.2")&amp;")")</f>
        <v>EHD5-4H (4φ12.7)</v>
      </c>
      <c r="D588" s="199"/>
      <c r="E588" s="200"/>
      <c r="F588" s="201" t="str">
        <f>"W=テンドン長×PC鋼より線本数×"&amp;IF(MID(D569,4,1)="5","0.774","1.101")&amp;"kg/m"</f>
        <v>W=テンドン長×PC鋼より線本数×0.774kg/m</v>
      </c>
      <c r="G588" s="202"/>
      <c r="H588" s="203"/>
      <c r="I588" s="204" t="s">
        <v>11</v>
      </c>
      <c r="J588" s="205">
        <f>IF(OR(D568=0,D569="　"),"",MROUND(D581*MID(LEFT(D569, LEN(D569)-1),6,2)*IF(MID(D569,4,1)="5","0.774","1.101"),0.01))</f>
        <v>30.03</v>
      </c>
      <c r="K588" s="205">
        <f>IFERROR(D568*J588,"")</f>
        <v>300.3</v>
      </c>
    </row>
    <row r="589" spans="2:11" ht="12" customHeight="1">
      <c r="B589" s="206" t="s">
        <v>151</v>
      </c>
      <c r="C589" s="207"/>
      <c r="D589" s="208"/>
      <c r="E589" s="209"/>
      <c r="F589" s="210" t="s">
        <v>33</v>
      </c>
      <c r="G589" s="211"/>
      <c r="H589" s="212"/>
      <c r="I589" s="213" t="s">
        <v>12</v>
      </c>
      <c r="J589" s="214">
        <f>IF(OR(D568=0,D569="　"),"",MROUND(D581,0.1))</f>
        <v>9.7000000000000011</v>
      </c>
      <c r="K589" s="214">
        <f>IFERROR(D568*J589,"")</f>
        <v>97.000000000000014</v>
      </c>
    </row>
    <row r="590" spans="2:11" ht="12" customHeight="1">
      <c r="B590" s="206" t="str">
        <f>"頭部キャップ"</f>
        <v>頭部キャップ</v>
      </c>
      <c r="C590" s="207" t="str" cm="1">
        <f t="array" ref="C590">IF(OR(D568=0,D569="　"),"",IF(MID(D569,4,1)="5",_xlfn.SWITCH(1*MID(LEFT(D569, LEN(D569)-1),6,2),1,"S",2,"S",3,"S",4,"S",5,"M",6,"M",7,"M",8,"L",9,"L",10,"L",11,"L",12,"L"),_xlfn.SWITCH(1*MID(LEFT(D569, LEN(D569)-1),6,2),1,"S",2,"S",3,"M",4,"M",5,"L",6,"L",7,"L",8,"LL",9,"LL",10,"LL",11,"LL",12,"LL",13,"LL",14,"LL"))&amp;"型"&amp;D571&amp;IF(OR(MID(D571,1,2)="透明",MID(D571,1,2)="5窓"),"、PC樹脂","")&amp;"、ｱﾙﾐAC4C相当"&amp;_xlfn.IFS(MID(D570,1,3)="防食Ⅱ","",MID(D570,5,2)="塩害","、防食：ﾀｹｺｰﾄ処理",MID(D570,5,2)="酸性","、防食：重防食処理"))</f>
        <v>S型透明キャップ、PC樹脂、ｱﾙﾐAC4C相当</v>
      </c>
      <c r="D590" s="215"/>
      <c r="E590" s="216"/>
      <c r="F590" s="217" t="str">
        <f t="shared" ref="F590:F596" si="23">"n=1"</f>
        <v>n=1</v>
      </c>
      <c r="G590" s="218"/>
      <c r="H590" s="219"/>
      <c r="I590" s="213" t="s">
        <v>13</v>
      </c>
      <c r="J590" s="220" t="str">
        <f>IF(OR(D568=0,D569="　"),"",MID(F590,3,2))</f>
        <v>1</v>
      </c>
      <c r="K590" s="214">
        <f>IFERROR(D568*J590,"")</f>
        <v>10</v>
      </c>
    </row>
    <row r="591" spans="2:11" ht="12" customHeight="1">
      <c r="B591" s="206" t="s">
        <v>5</v>
      </c>
      <c r="C591" s="207" t="str" cm="1">
        <f t="array" ref="C591">IF(OR(D568=0,D569="　"),"",IF(MID(D569,4,1)="5","G5"&amp;_xlfn.SWITCH(1*MID(LEFT(D569, LEN(D569)-1),6,2),1,"01",2,"02",3,"03",4,"04",5,"07",6,"07",7,"07",8,"09",9,"09",10,"12",11,"12",12,"12"),"G6"&amp;_xlfn.SWITCH(1*MID(LEFT(D569, LEN(D569)-1),6,2),1,"01",2,"02",3,"03",4,"04",5,"07",6,"07",7,"07",8,"09",9,"09",10,"12",11,"12",12,"12",13,"14",14,"14"))&amp;"、S45C相当"&amp;IF(MID(D571,1,3)&lt;&gt;"アルミ","、防食：無電解Niめっき",""))</f>
        <v>G504、S45C相当、防食：無電解Niめっき</v>
      </c>
      <c r="D591" s="208"/>
      <c r="E591" s="209"/>
      <c r="F591" s="217" t="str">
        <f t="shared" si="23"/>
        <v>n=1</v>
      </c>
      <c r="G591" s="218"/>
      <c r="H591" s="219"/>
      <c r="I591" s="213" t="s">
        <v>13</v>
      </c>
      <c r="J591" s="220" t="str">
        <f>IF(OR(D568=0,D569="　"),"",MID(F591,3,2))</f>
        <v>1</v>
      </c>
      <c r="K591" s="214">
        <f>IFERROR(D568*J591,"")</f>
        <v>10</v>
      </c>
    </row>
    <row r="592" spans="2:11" ht="12" customHeight="1">
      <c r="B592" s="206" t="s">
        <v>152</v>
      </c>
      <c r="C592" s="207" t="str" cm="1">
        <f t="array" ref="C592">IF(OR(D568=0,D569="　"),"",IF(MID(D569,4,1)="5","G5"&amp;_xlfn.SWITCH(1*MID(LEFT(D569, LEN(D569)-1),6,2),1,"01",2,"02",3,"03",4,"04",5,"07",6,"07",7,"07",8,"09",9,"09",10,"12",11,"12",12,"12"),"G6"&amp;_xlfn.SWITCH(1*MID(LEFT(D569, LEN(D569)-1),6,2),1,"01",2,"02",3,"03",4,"04",5,"07",6,"07",7,"07",8,"09",9,"09",10,"12",11,"12",12,"12",13,"14",14,"14"))&amp;"、S45C相当"&amp;IF(MID(D571,1,3)&lt;&gt;"アルミ","、防食：無電解Niめっき",""))</f>
        <v>G504、S45C相当、防食：無電解Niめっき</v>
      </c>
      <c r="D592" s="208"/>
      <c r="E592" s="209"/>
      <c r="F592" s="217" t="str">
        <f t="shared" si="23"/>
        <v>n=1</v>
      </c>
      <c r="G592" s="218"/>
      <c r="H592" s="219"/>
      <c r="I592" s="213" t="s">
        <v>13</v>
      </c>
      <c r="J592" s="220" t="str">
        <f>IF(OR(D568=0,D569="　"),"",MID(F592,3,2))</f>
        <v>1</v>
      </c>
      <c r="K592" s="214">
        <f>IFERROR(D568*J592,"")</f>
        <v>10</v>
      </c>
    </row>
    <row r="593" spans="2:11" ht="12" customHeight="1">
      <c r="B593" s="206" t="s">
        <v>7</v>
      </c>
      <c r="C593" s="207" t="str">
        <f>IF(OR(D568=0,D569="　"),"",IF(1*MID(D569,4,1)=5,"ECF12.7","ECF15.2")&amp;"、SCM415相当"&amp;IF(MID(D571,1,3)&lt;&gt;"アルミ","、防食：無電解Niめっき",""))</f>
        <v>ECF12.7、SCM415相当、防食：無電解Niめっき</v>
      </c>
      <c r="D593" s="208"/>
      <c r="E593" s="209"/>
      <c r="F593" s="217" t="str">
        <f t="shared" si="23"/>
        <v>n=1</v>
      </c>
      <c r="G593" s="218"/>
      <c r="H593" s="219"/>
      <c r="I593" s="213" t="s">
        <v>27</v>
      </c>
      <c r="J593" s="220" t="str">
        <f>IF(OR(D568=0,D569="　"),"",MID(F593,3,2))</f>
        <v>1</v>
      </c>
      <c r="K593" s="214">
        <f>IFERROR(D568*J593,"")</f>
        <v>10</v>
      </c>
    </row>
    <row r="594" spans="2:11" ht="12" customHeight="1">
      <c r="B594" s="206" t="s">
        <v>153</v>
      </c>
      <c r="C594" s="207" t="str" cm="1">
        <f t="array" ref="C594">IF(OR(D568=0,D569="　"),"",IF(MID(D569,4,1)="5","G5"&amp;_xlfn.SWITCH(1*MID(LEFT(D569, LEN(D569)-1),6,2),1,"01",2,"04",3,"03",4,"04",5,"07",6,"07",7,"07",8,"12",9,"12",10,"12",11,"12",12,"12"),"G6"&amp;_xlfn.SWITCH(1*MID(LEFT(D569, LEN(D569)-1),6,2),1,"01",2,"02",3,"03",4,"04",5,"07",6,"07",7,"07",8,"12",9,"12",10,"12",11,"12",12,"12",13,"14",14,"14"))&amp;"、SS400相当、防食："&amp;_xlfn.IFS(MID(D570,1,3)="防食Ⅱ","HDZT77めっき",MID(D570,5,2)="塩害","ｱﾙﾐﾅｲｽﾞ処理",MID(D570,5,2)="酸性","重防食処理"))</f>
        <v>G504、SS400相当、防食：HDZT77めっき</v>
      </c>
      <c r="D594" s="208"/>
      <c r="E594" s="209"/>
      <c r="F594" s="217" t="str">
        <f t="shared" si="23"/>
        <v>n=1</v>
      </c>
      <c r="G594" s="218"/>
      <c r="H594" s="219"/>
      <c r="I594" s="213" t="s">
        <v>16</v>
      </c>
      <c r="J594" s="220" t="str">
        <f>IF(OR(D568=0,D569="　"),"",MID(F594,3,2))</f>
        <v>1</v>
      </c>
      <c r="K594" s="214">
        <f>IFERROR(D568*J594,"")</f>
        <v>10</v>
      </c>
    </row>
    <row r="595" spans="2:11" ht="12" customHeight="1">
      <c r="B595" s="206" t="str">
        <f>IF(MID(D572,1,3)="のり面","管付","")&amp;"支圧板"</f>
        <v>管付支圧板</v>
      </c>
      <c r="C595" s="221" t="str" cm="1">
        <f t="array" ref="C595">IF(OR(D568=0,D569="　"),"","PL"&amp;IF(MID(D572,1,3)="のり面","P","")&amp;IF(MID(D569,4,1)="5","5-"&amp;_xlfn.SWITCH(1*MID(LEFT(D569, LEN(D569)-1),6,2),1,"1",2,"2",3,"3",4,"4",5,"5",6,"6",7,"7",8,"9",9,"9",10,"10",11,"11",12,"12"),"6-"&amp;_xlfn.SWITCH(1*MID(LEFT(D569, LEN(D569)-1),6,2),1,"1",2,"2",3,"3",4,"4",5,"6",6,"6",7,"7",8,"8",9,"9",10,"10",11,"11",12,"12",13,"14",14,"14"))&amp;"、SS400相当、防食："&amp;_xlfn.IFS(MID(D570,1,3)="防食Ⅱ","HDZT77めっき",MID(D570,5,2)="塩害","ｱﾙﾐﾅｲｽﾞ処理",MID(D570,5,2)="酸性","重防食処理"))</f>
        <v>PLP5-4、SS400相当、防食：HDZT77めっき</v>
      </c>
      <c r="D595" s="208"/>
      <c r="E595" s="209"/>
      <c r="F595" s="217" t="str">
        <f t="shared" si="23"/>
        <v>n=1</v>
      </c>
      <c r="G595" s="218"/>
      <c r="H595" s="219"/>
      <c r="I595" s="213" t="s">
        <v>16</v>
      </c>
      <c r="J595" s="220" t="str">
        <f>IF(OR(D568=0,D569="　"),"",MID(F595,3,2))</f>
        <v>1</v>
      </c>
      <c r="K595" s="214">
        <f>IFERROR(D568*J595,"")</f>
        <v>10</v>
      </c>
    </row>
    <row r="596" spans="2:11" ht="12" customHeight="1">
      <c r="B596" s="206" t="s">
        <v>154</v>
      </c>
      <c r="C596" s="207" t="str">
        <f>IF(OR(D568=0,D569="　"),"","G"&amp;MID(LEFT(D569, LEN(D569)-1),4,4)&amp;"、NBR45相当")</f>
        <v>G5-4、NBR45相当</v>
      </c>
      <c r="D596" s="208"/>
      <c r="E596" s="209"/>
      <c r="F596" s="217" t="str">
        <f t="shared" si="23"/>
        <v>n=1</v>
      </c>
      <c r="G596" s="218"/>
      <c r="H596" s="219"/>
      <c r="I596" s="213" t="s">
        <v>13</v>
      </c>
      <c r="J596" s="220" t="str">
        <f>IF(OR(D568=0,D569="　"),"",MID(F596,3,2))</f>
        <v>1</v>
      </c>
      <c r="K596" s="214">
        <f>IFERROR(D568*J596,"")</f>
        <v>10</v>
      </c>
    </row>
    <row r="597" spans="2:11" ht="12" customHeight="1">
      <c r="B597" s="206" t="str" cm="1">
        <f t="array" ref="B597">_xlfn.IFS(OR(D568=0,D569="　"),"",MID(D571,1,3)="アルミ","頭部防錆油",MID(D571,1,3)&lt;&gt;"アルミ","余長キャップ")</f>
        <v>余長キャップ</v>
      </c>
      <c r="C597" s="221" t="str" cm="1">
        <f t="array" ref="C597">_xlfn.IFS(OR(D568=0,D569="　"),"",MID(D571,1,3)="アルミ","PCコートC",MID(D571,1,3)&lt;&gt;"アルミ","TC"&amp;MID(D569,4,1)&amp;"、高密度ポチエチレン")</f>
        <v>TC5、高密度ポチエチレン</v>
      </c>
      <c r="D597" s="208"/>
      <c r="E597" s="209"/>
      <c r="F597" s="217" t="str" cm="1">
        <f t="array" ref="F597">_xlfn.IFS(OR(D568=0,D569="　"),"",MID(D571,1,3)="アルミ","W="&amp;IF(MID(D569,4,1)="5",_xlfn.SWITCH(1*MID(LEFT(D569, LEN(D569)-1),6,2),1,1.9,2,1.3,3,1.3,4,1.3,5,1.6,6,1.6,7,1.6,8,3.1,9,3.1,10,3.1,11,3.1,12,3.1),"G6"&amp;_xlfn.SWITCH(1*MID(LEFT(D569, LEN(D569)-1),6,2),1,1.8,2,1.3,3,1.8,4,1.8,5,3.3,6,3.3,7,3.3,8,9.9,9,9.9,10,9.9,11,9.9,12,9.9,13,9.9,14,9.9)),MID(D571,1,3)&lt;&gt;"アルミ","n=1")</f>
        <v>n=1</v>
      </c>
      <c r="G597" s="218"/>
      <c r="H597" s="219"/>
      <c r="I597" s="213" t="str" cm="1">
        <f t="array" ref="I597">_xlfn.IFS(OR(D568=0,D569="　"),"",MID(D571,1,3)="アルミ","kg",MID(D571,1,3)&lt;&gt;"アルミ","式")</f>
        <v>式</v>
      </c>
      <c r="J597" s="220" t="str">
        <f>IF(OR(D568=0,D569="　"),"",MID(F597,3,4))</f>
        <v>1</v>
      </c>
      <c r="K597" s="214">
        <f>IFERROR(D568*J597,"")</f>
        <v>10</v>
      </c>
    </row>
    <row r="598" spans="2:11" ht="12" customHeight="1">
      <c r="B598" s="206" t="s">
        <v>9</v>
      </c>
      <c r="C598" s="207" t="str" cm="1">
        <f t="array" ref="C598">IF(OR(D568=0,D569="　"),"",IF(MID(D569,4,1)="5","PS5-"&amp;_xlfn.SWITCH(1*MID(LEFT(D569, LEN(D569)-1),6,2),1,"7",2,"2",3,"3",4,"4",5,"7",6,"7",7,"7",8,"12",9,"12",10,"12",11,"12",12,"12"),"PS6-"&amp;_xlfn.SWITCH(1*MID(LEFT(D569, LEN(D569)-1),6,2),1,"7",2,"2",3,"3",4,"4",5,"7",6,"7",7,"7",8,"12",9,"12",10,"12",11,"12",12,"12",13,"14",14,"14"))&amp;"、高密度ポリエチレン")</f>
        <v>PS5-4、高密度ポリエチレン</v>
      </c>
      <c r="D598" s="208"/>
      <c r="E598" s="209"/>
      <c r="F598" s="217" t="str">
        <f>"n=2"</f>
        <v>n=2</v>
      </c>
      <c r="G598" s="218"/>
      <c r="H598" s="219"/>
      <c r="I598" s="213" t="s">
        <v>13</v>
      </c>
      <c r="J598" s="220" t="str">
        <f>IF(OR(D568=0,D569="　"),"",MID(F598,3,2))</f>
        <v>2</v>
      </c>
      <c r="K598" s="214">
        <f>IFERROR(D568*J598,"")</f>
        <v>20</v>
      </c>
    </row>
    <row r="599" spans="2:11" ht="12" customHeight="1">
      <c r="B599" s="206" t="s">
        <v>2</v>
      </c>
      <c r="C599" s="207" t="str" cm="1">
        <f t="array" ref="C599">IF(OR(D568=0,D569="　"),"",IF(MID(D569,4,1)="5","S5-"&amp;_xlfn.IFS(1*MID(LEFT(D569, LEN(D569)-1),6,2)&lt;6,"5",1*MID(LEFT(D569, LEN(D569)-1),6,2)&lt;9,"8",1*MID(LEFT(D569, LEN(D569)-1),6,2)&gt;8,"12"),"S6-"&amp;_xlfn.IFS(1*MID(LEFT(D569, LEN(D569)-1),6,2)&lt;4,"3",1*MID(LEFT(D569, LEN(D569)-1),6,2)&lt;7,"6",1*MID(LEFT(D569, LEN(D569)-1),6,2)&lt;10,"9",1*MID(LEFT(D569, LEN(D569)-1),6,2)&lt;13,"12",1*MID(LEFT(D569, LEN(D569)-1),6,2)&gt;12,"14"))&amp;"、ポリプロピレン")</f>
        <v>S5-5、ポリプロピレン</v>
      </c>
      <c r="D599" s="208"/>
      <c r="E599" s="209"/>
      <c r="F599" s="222" t="s">
        <v>155</v>
      </c>
      <c r="G599" s="211"/>
      <c r="H599" s="212"/>
      <c r="I599" s="213" t="s">
        <v>13</v>
      </c>
      <c r="J599" s="206">
        <f>IF(OR(D568=0,D569="　"),"",MROUND((D577-0.4)/1,1))</f>
        <v>4</v>
      </c>
      <c r="K599" s="214">
        <f>IFERROR(D568*J599,"")</f>
        <v>40</v>
      </c>
    </row>
    <row r="600" spans="2:11" ht="12" customHeight="1">
      <c r="B600" s="206" t="s">
        <v>1</v>
      </c>
      <c r="C600" s="207" t="str" cm="1">
        <f t="array" ref="C600">IF(OR(D568=0,D569="　"),"",IF(MID(D569,4,1)="5","PC5-"&amp;_xlfn.IFS(1*MID(LEFT(D569, LEN(D569)-1),6,2)&lt;5,"4",1*MID(LEFT(D569, LEN(D569)-1),6,2)&lt;8,"7",1*MID(LEFT(D569, LEN(D569)-1),6,2)&lt;10,"9",1*MID(LEFT(D569, LEN(D569)-1),6,2)&gt;9,"12"),"PC6-"&amp;_xlfn.IFS(1*MID(LEFT(D569, LEN(D569)-1),6,2)&lt;4,"3",1*MID(LEFT(D569, LEN(D569)-1),6,2)&lt;8,"7",1*MID(LEFT(D569, LEN(D569)-1),6,2)&lt;13,"12",1*MID(LEFT(D569, LEN(D569)-1),6,2)&gt;12,"14"))&amp;"、ポリプロピレン")</f>
        <v>PC5-4、ポリプロピレン</v>
      </c>
      <c r="D600" s="208"/>
      <c r="E600" s="209"/>
      <c r="F600" s="217" t="str">
        <f>"n=1"</f>
        <v>n=1</v>
      </c>
      <c r="G600" s="218"/>
      <c r="H600" s="219"/>
      <c r="I600" s="213" t="s">
        <v>13</v>
      </c>
      <c r="J600" s="220" t="str">
        <f>IF(OR(D568=0,D569="　"),"",MID(F600,3,2))</f>
        <v>1</v>
      </c>
      <c r="K600" s="214">
        <f>IFERROR(D568*J600,"")</f>
        <v>10</v>
      </c>
    </row>
    <row r="601" spans="2:11" ht="12" customHeight="1">
      <c r="B601" s="206" t="s">
        <v>3</v>
      </c>
      <c r="C601" s="207" t="str">
        <f>IF(OR(D568=0,D569="　"),"","66ナイロン")</f>
        <v>66ナイロン</v>
      </c>
      <c r="D601" s="208"/>
      <c r="E601" s="209"/>
      <c r="F601" s="222" t="s">
        <v>156</v>
      </c>
      <c r="G601" s="211"/>
      <c r="H601" s="212"/>
      <c r="I601" s="213" t="s">
        <v>14</v>
      </c>
      <c r="J601" s="206">
        <f>IF(OR(D568=0,D569="　"),"",2*J599)</f>
        <v>8</v>
      </c>
      <c r="K601" s="214">
        <f>IFERROR(D568*J601,"")</f>
        <v>80</v>
      </c>
    </row>
    <row r="602" spans="2:11" ht="12" customHeight="1">
      <c r="B602" s="206" t="s">
        <v>4</v>
      </c>
      <c r="C602" s="207" t="str">
        <f>IF(OR(D568=0,D569="　"),"","フィラメントテープ")</f>
        <v>フィラメントテープ</v>
      </c>
      <c r="D602" s="208"/>
      <c r="E602" s="209"/>
      <c r="F602" s="222" t="str">
        <f>IF(OR(D568=0,D569="　"),"","L=((自由長+緊張部長)÷@1.0m)×テープ係数"&amp;IF(MID(D569,4,1)="5",_xlfn.IFS(1*MID(LEFT(D569, LEN(D569)-1),6,2)&lt;4,"0.8",1*MID(LEFT(D569, LEN(D569)-1),6,2)&lt;7,"1.0",1*MID(LEFT(D569, LEN(D569)-1),6,2)&lt;10,"1.2",1*MID(LEFT(D569, LEN(D569)-1),6,2)&lt;13,"1.4"),_xlfn.IFS(1*MID(LEFT(D569, LEN(D569)-1),6,2)&lt;4,"1.0",1*MID(LEFT(D569, LEN(D569)-1),6,2)&lt;7,"1.2",1*MID(LEFT(D569, LEN(D569)-1),6,2)&lt;10,"1.4",1*MID(LEFT(D569, LEN(D569)-1),6,2)&lt;15,"1.8")))</f>
        <v>L=((自由長+緊張部長)÷@1.0m)×テープ係数1.0</v>
      </c>
      <c r="G602" s="211"/>
      <c r="H602" s="212"/>
      <c r="I602" s="213" t="s">
        <v>12</v>
      </c>
      <c r="J602" s="223">
        <f>IF(OR(D568=0,D569="　"),"",MROUND((SUM(D578,D579))/1*RIGHT(F602, 3),0.1))</f>
        <v>5.5</v>
      </c>
      <c r="K602" s="214">
        <f>IFERROR(D568*J602,"")</f>
        <v>55</v>
      </c>
    </row>
    <row r="603" spans="2:11" ht="12" customHeight="1">
      <c r="B603" s="206" t="s">
        <v>0</v>
      </c>
      <c r="C603" s="207" t="str">
        <f>IF(OR(D568=0,D569="　"),"","16/20、高密度ポリエチレン")</f>
        <v>16/20、高密度ポリエチレン</v>
      </c>
      <c r="D603" s="208"/>
      <c r="E603" s="209"/>
      <c r="F603" s="210" t="s">
        <v>33</v>
      </c>
      <c r="G603" s="211"/>
      <c r="H603" s="212"/>
      <c r="I603" s="213" t="s">
        <v>12</v>
      </c>
      <c r="J603" s="214">
        <f>IF(OR(D568=0,D569="　"),"",MROUND(D581,0.1))</f>
        <v>9.7000000000000011</v>
      </c>
      <c r="K603" s="214">
        <f>IFERROR(D568*J603,"")</f>
        <v>97.000000000000014</v>
      </c>
    </row>
    <row r="604" spans="2:11" ht="12" customHeight="1">
      <c r="B604" s="206" t="str" cm="1">
        <f t="array" ref="B604">_xlfn.IFS(OR(D568=0,D569="　",MID(D572,1,2)="なし",MID(D572,1,3)="受圧体"),"",MID(D572,1,3)="のり面","のり面角度台座",MID(D572,1,3)="構造物","構造物壁面台座",MID(D572,1,3)="土留め","土留め台座")</f>
        <v>のり面角度台座</v>
      </c>
      <c r="C604" s="210" t="str" cm="1">
        <f t="array" ref="C604">IF(OR(D568=0,D569="　",MID(D572,1,2)="なし",MID(D572,1,3)="受圧体"),"",_xlfn.IFS(MID(D572,1,3)="のり面",IF(1*MID(D569,4,1)=5,_xlfn.IFS(1*MID(LEFT(D569, LEN(D569)-1),6,2)&lt;5,"ST140",1*MID(LEFT(D569, LEN(D569)-1),6,2)&lt;8,"ST170",1*MID(LEFT(D569, LEN(D569)-1),6,2)&lt;13,"ST220"),_xlfn.IFS(1*MID(LEFT(D569, LEN(D569)-1),6,2)&lt;4,"ST140",1*MID(LEFT(D569, LEN(D569)-1),6,2)&lt;5,"ST170",1*MID(LEFT(D569, LEN(D569)-1),6,2)&lt;8,"ST220",1*MID(LEFT(D569, LEN(D569)-1),6,2)&lt;15,"非該当"))&amp;"、FCD450相当、防食："&amp;_xlfn.IFS(MID(D570,1,3)="防食Ⅱ","HDZT77めっき",MID(D570,5,2)="塩害","ｱﾙﾐﾅｲｽﾞ処理",MID(D570,5,2)="酸性","重防食処理"),OR(MID(D572,1,3)="構造物",MID(D572,1,3)="土留め"),D569&amp;"用"&amp;IF(OR(MID(D572,1,3)="構造物",D573="　"),"",D573)&amp;"、防食："&amp;_xlfn.IFS(MID(D570,1,3)="防食Ⅱ","HDZT77めっき",MID(D570,5,2)="塩害","ｱﾙﾐﾅｲｽﾞ処理",MID(D570,5,2)="酸性","重防食処理")))</f>
        <v>ST140、FCD450相当、防食：HDZT77めっき</v>
      </c>
      <c r="D604" s="208"/>
      <c r="E604" s="209"/>
      <c r="F604" s="217" t="str">
        <f>IF(OR(D572="なし",D572="受圧体のみ"),"","n=1")</f>
        <v>n=1</v>
      </c>
      <c r="G604" s="218"/>
      <c r="H604" s="219"/>
      <c r="I604" s="213" t="str">
        <f>IF(OR(D568=0,D569="　",B604=""),"","台")</f>
        <v>台</v>
      </c>
      <c r="J604" s="220" t="str">
        <f>IF(OR(D568=0,D569="　"),"",MID(F604,3,2))</f>
        <v>1</v>
      </c>
      <c r="K604" s="214">
        <f>IFERROR(D568*J604,"")</f>
        <v>10</v>
      </c>
    </row>
    <row r="605" spans="2:11" ht="12" customHeight="1">
      <c r="B605" s="206" t="str">
        <f>IF(OR(D568=0,D569="　",MID(D572,1,3)&lt;&gt;"のり面"),"","補剛板")</f>
        <v>補剛板</v>
      </c>
      <c r="C605" s="210" t="str" cm="1">
        <f t="array" ref="C605">IF(OR(D568=0,D569="　",MID(D572,1,3)&lt;&gt;"のり面"),"",IF(MID(D569,4,1)="5","□"&amp;_xlfn.SWITCH(1*MID(LEFT(D569, LEN(D569)-1),6,2),1,"210φ131t12",2,"210φ131t12",3,"240φ131t12",4,"270φ131t12",5,"280φ143t12",6,"310φ143t16",7,"350φ143t19",8,"350φ180t19",9,"350φ180t19",10,"350φ180t19",11,"350φ180t22",12,"350φ180t22"),"□"&amp;_xlfn.SWITCH(1*MID(LEFT(D569, LEN(D569)-1),6,2),1,"210,φ131,t12",2,"240,φ131,t12",3,"270,φ131,t16",4,"300,φ143,t16",5,"350,φ180,t16",6,"350,φ180,t16",7,"350,φ180,t19",8,"400,φ──,t12",9,"400,φ──,t12",10,"400,φ──,t12",11,"400,φ──,t12",12,"400,φ──,t12",13,"400,φ──,t12",14,"400,φ──,t12"))&amp;"、SS400相当、防食："&amp;_xlfn.IFS(MID(D570,1,3)="防食Ⅱ","HDZT77めっき",MID(D570,5,2)="塩害","ｱﾙﾐﾅｲｽﾞ処理",MID(D570,5,2)="酸性","重防食処理"))</f>
        <v>□270φ131t12、SS400相当、防食：HDZT77めっき</v>
      </c>
      <c r="D605" s="208"/>
      <c r="E605" s="209"/>
      <c r="F605" s="217" t="str">
        <f>IF(OR(D568=0,D569="　",MID(D572,1,3)&lt;&gt;"のり面"),"","n=1")</f>
        <v>n=1</v>
      </c>
      <c r="G605" s="218"/>
      <c r="H605" s="219"/>
      <c r="I605" s="213" t="str">
        <f>IF(OR(D568=0,D569="　",B605="",MID(D572,1,3)&lt;&gt;"のり面"),"","枚")</f>
        <v>枚</v>
      </c>
      <c r="J605" s="220" t="str">
        <f>IF(OR(D568=0,D569="　"),"",MID(F605,3,2))</f>
        <v>1</v>
      </c>
      <c r="K605" s="214">
        <f>IFERROR(D568*J605,"")</f>
        <v>10</v>
      </c>
    </row>
    <row r="606" spans="2:11" ht="12" customHeight="1">
      <c r="B606" s="206" t="str" cm="1">
        <f t="array" ref="B606">_xlfn.IFS(OR(D568=0,D569="　"),"",MID(D571,1,3)="アルミ","",MID(D571,1,3)&lt;&gt;"アルミ","テンドン補修用塗料")</f>
        <v>テンドン補修用塗料</v>
      </c>
      <c r="C606" s="210" t="str" cm="1">
        <f t="array" ref="C606">_xlfn.IFS(OR(D568=0,D569="　"),"",MID(D571,1,3)="アルミ","",MID(D571,1,3)&lt;&gt;"アルミ","エポキシ樹脂")</f>
        <v>エポキシ樹脂</v>
      </c>
      <c r="D606" s="208"/>
      <c r="E606" s="209"/>
      <c r="F606" s="217" t="str" cm="1">
        <f t="array" ref="F606">_xlfn.IFS(OR(D568=0,D569="　"),"",MID(D571,1,3)="アルミ","",MID(D571,1,3)&lt;&gt;"アルミ","W=PC鋼より線本数×"&amp;IF(MID(D569,4,1)="5","0.28","0.40"))</f>
        <v>W=PC鋼より線本数×0.28</v>
      </c>
      <c r="G606" s="218"/>
      <c r="H606" s="219"/>
      <c r="I606" s="213" t="str" cm="1">
        <f t="array" ref="I606">_xlfn.IFS(OR(D568=0,D569="　"),"",MID(D571,1,3)="アルミ","",MID(D571,1,3)&lt;&gt;"アルミ","g")</f>
        <v>g</v>
      </c>
      <c r="J606" s="224" cm="1">
        <f t="array" ref="J606">_xlfn.IFS(OR(D568=0,D569="　"),"",MID(D571,1,3)="アルミ","",MID(D571,1,3)&lt;&gt;"アルミ",MID(LEFT(D569, LEN(D569)-1),6,2)*IF(MID(D569,4,1)="5",0.28,0.4))</f>
        <v>1.1200000000000001</v>
      </c>
      <c r="K606" s="214">
        <f>IFERROR(D568*J606,"")</f>
        <v>11.200000000000001</v>
      </c>
    </row>
    <row r="607" spans="2:11" ht="12" customHeight="1">
      <c r="B607" s="206" t="str" cm="1">
        <f t="array" ref="B607">_xlfn.IFS(OR(D568=0,D569="　"),"",MID(D571,1,3)="アルミ","",MID(D571,1,3)&lt;&gt;"アルミ","長期防錆スプレー")</f>
        <v>長期防錆スプレー</v>
      </c>
      <c r="C607" s="210" t="str" cm="1">
        <f t="array" ref="C607">_xlfn.IFS(OR(D568=0,D569="　"),"",MID(D571,1,3)="アルミ","",MID(D571,1,3)&lt;&gt;"アルミ","防錆オイル")</f>
        <v>防錆オイル</v>
      </c>
      <c r="D607" s="208"/>
      <c r="E607" s="209"/>
      <c r="F607" s="217" t="str" cm="1">
        <f t="array" ref="F607">_xlfn.IFS(OR(D568=0,D569="　"),"",MID(D571,1,3)="アルミ","",MID(D571,1,3)&lt;&gt;"アルミ","n=0.01×(PC鋼より線本数+"&amp;IF(MID(D569,4,1)="5","6","12")&amp;")")</f>
        <v>n=0.01×(PC鋼より線本数+6)</v>
      </c>
      <c r="G607" s="218"/>
      <c r="H607" s="219"/>
      <c r="I607" s="213" t="str" cm="1">
        <f t="array" ref="I607">_xlfn.IFS(OR(D568=0,D569="　"),"",MID(D571,1,3)="アルミ","",MID(D571,1,3)&lt;&gt;"アルミ","缶")</f>
        <v>缶</v>
      </c>
      <c r="J607" s="224" cm="1">
        <f t="array" ref="J607">_xlfn.IFS(OR(D568=0,D569="　"),"",MID(D571,1,3)="アルミ","",MID(D571,1,3)&lt;&gt;"アルミ",0.01*(MID(LEFT(D569, LEN(D569)-1),6,2)+IF(MID(D569,4,1)="5",6,12)))</f>
        <v>0.1</v>
      </c>
      <c r="K607" s="214">
        <f>IFERROR(D568*J607,"")</f>
        <v>1</v>
      </c>
    </row>
    <row r="608" spans="2:11" ht="12" customHeight="1">
      <c r="B608" s="206" t="str">
        <f>IF(OR(D568=0,D569="　",D574="なし"),"","フリーパッカー注入ホース")</f>
        <v/>
      </c>
      <c r="C608" s="207" t="str">
        <f>IF(OR(D568=0,D569="　",B608=""),"","16/20、高密度ポリエチレン")</f>
        <v/>
      </c>
      <c r="D608" s="208"/>
      <c r="E608" s="209"/>
      <c r="F608" s="210" t="str">
        <f>IF(B608="","","L=自由長+緊張部長")</f>
        <v/>
      </c>
      <c r="G608" s="211"/>
      <c r="H608" s="212"/>
      <c r="I608" s="213" t="str">
        <f>IF(OR(D568=0,D569="　",B608=""),"","m")</f>
        <v/>
      </c>
      <c r="J608" s="214" t="str">
        <f>IF(OR(D568=0,D569="　"),"",IF(B608="","",MROUND(D578+D579,0.1)))</f>
        <v/>
      </c>
      <c r="K608" s="214" t="str">
        <f>IFERROR(D568*J608,"")</f>
        <v/>
      </c>
    </row>
    <row r="609" spans="2:11" ht="12" customHeight="1">
      <c r="B609" s="225" t="str">
        <f>IF(OR(D568=0,D569="　",D574="なし"),"","フリーパッカー")</f>
        <v/>
      </c>
      <c r="C609" s="217" t="str" cm="1">
        <f t="array" ref="C609">IF(OR(D568=0,D569="　",B608=""),"",_xlfn.SWITCH(D583,90,"PA-170",115,"PA-200",135,"PA-240",146,"PA-240",165,"PA-350")&amp;"、織布")</f>
        <v/>
      </c>
      <c r="D609" s="208"/>
      <c r="E609" s="209"/>
      <c r="F609" s="226" t="str">
        <f>IF(B609="","","L=自由長+0.5m")</f>
        <v/>
      </c>
      <c r="G609" s="227"/>
      <c r="H609" s="228"/>
      <c r="I609" s="213" t="str">
        <f>IF(OR(D569=0,D570="　",B609=""),"","m")</f>
        <v/>
      </c>
      <c r="J609" s="214" t="str">
        <f>IF(OR(D568=0,D569="　"),"",IF(B609="","",MROUND(D578+0.5,0.1)))</f>
        <v/>
      </c>
      <c r="K609" s="214" t="str">
        <f>IFERROR(D568*J609,"")</f>
        <v/>
      </c>
    </row>
    <row r="610" spans="2:11" ht="12" customHeight="1">
      <c r="B610" s="206" t="str">
        <f>IF(OR(D568=0,D569="　",D574="なし"),"","パッカー取付加工")</f>
        <v/>
      </c>
      <c r="C610" s="207"/>
      <c r="D610" s="208"/>
      <c r="E610" s="209"/>
      <c r="F610" s="217" t="str">
        <f>IF(B610="","","n=1")</f>
        <v/>
      </c>
      <c r="G610" s="218"/>
      <c r="H610" s="219"/>
      <c r="I610" s="213" t="str">
        <f>IF(OR(D570=0,D571="　",B610=""),"","式")</f>
        <v/>
      </c>
      <c r="J610" s="220" t="str">
        <f>IF(OR(D568=0,D569="　"),"",MID(F610,3,2))</f>
        <v/>
      </c>
      <c r="K610" s="206" t="str">
        <f>IFERROR(D568*J610,"")</f>
        <v/>
      </c>
    </row>
    <row r="611" spans="2:11" ht="12" customHeight="1">
      <c r="B611" s="229"/>
      <c r="C611" s="230"/>
      <c r="D611" s="231"/>
      <c r="E611" s="232"/>
      <c r="F611" s="233"/>
      <c r="G611" s="234"/>
      <c r="H611" s="235"/>
      <c r="I611" s="236"/>
      <c r="J611" s="237"/>
      <c r="K611" s="229"/>
    </row>
    <row r="612" spans="2:11" ht="12" customHeight="1">
      <c r="B612" s="238" t="s">
        <v>30</v>
      </c>
      <c r="C612" s="239" t="s">
        <v>31</v>
      </c>
      <c r="D612" s="240"/>
      <c r="E612" s="241"/>
      <c r="F612" s="242" t="s">
        <v>157</v>
      </c>
      <c r="G612" s="243"/>
      <c r="H612" s="244"/>
      <c r="I612" s="245" t="s">
        <v>55</v>
      </c>
      <c r="J612" s="246">
        <f>IFERROR(MROUND(0.25*PI()*(0.001*D583)^2*(D576+D577+D582)*(1+2.2),0.01),"")</f>
        <v>0.17</v>
      </c>
      <c r="K612" s="246">
        <f>IFERROR(D568*J612,"")</f>
        <v>1.7000000000000002</v>
      </c>
    </row>
    <row r="614" spans="2:11" ht="12" customHeight="1">
      <c r="B614" s="247" t="s">
        <v>136</v>
      </c>
      <c r="C614" s="247"/>
      <c r="D614" s="247"/>
      <c r="F614" s="163"/>
      <c r="G614" s="164"/>
      <c r="H614" s="164"/>
    </row>
    <row r="615" spans="2:11" ht="12" customHeight="1">
      <c r="B615" s="15" t="s">
        <v>111</v>
      </c>
      <c r="C615" s="15"/>
      <c r="D615" s="1"/>
      <c r="E615" s="1"/>
      <c r="H615" s="119"/>
      <c r="J615" s="118"/>
    </row>
    <row r="616" spans="2:11" ht="12" customHeight="1">
      <c r="B616" s="165" t="s">
        <v>166</v>
      </c>
      <c r="C616" s="3"/>
      <c r="D616" s="1"/>
      <c r="E616" s="1"/>
      <c r="F616" s="8"/>
      <c r="G616" s="8"/>
      <c r="H616" s="102"/>
      <c r="I616" s="28"/>
      <c r="J616" s="118"/>
    </row>
    <row r="617" spans="2:11" ht="12" customHeight="1">
      <c r="B617" s="15" t="s">
        <v>40</v>
      </c>
      <c r="C617" s="3"/>
      <c r="D617" s="1"/>
      <c r="E617" s="1"/>
      <c r="F617" s="15" t="s">
        <v>54</v>
      </c>
      <c r="G617" s="15"/>
      <c r="H617" s="102"/>
      <c r="I617" s="28"/>
    </row>
    <row r="618" spans="2:11" ht="12" customHeight="1">
      <c r="B618" s="2" t="s">
        <v>53</v>
      </c>
      <c r="C618" s="2" t="s">
        <v>21</v>
      </c>
      <c r="D618" s="2" t="s">
        <v>22</v>
      </c>
      <c r="E618" s="17"/>
      <c r="F618" s="49" t="s">
        <v>41</v>
      </c>
      <c r="G618" s="97" t="s">
        <v>59</v>
      </c>
      <c r="H618" s="49" t="s">
        <v>44</v>
      </c>
      <c r="I618" s="2" t="s">
        <v>21</v>
      </c>
      <c r="J618" s="49" t="s">
        <v>138</v>
      </c>
      <c r="K618" s="2" t="s">
        <v>28</v>
      </c>
    </row>
    <row r="619" spans="2:11" ht="12" customHeight="1">
      <c r="B619" s="166" t="s">
        <v>25</v>
      </c>
      <c r="C619" s="18" t="s">
        <v>24</v>
      </c>
      <c r="D619" s="167">
        <v>10</v>
      </c>
      <c r="E619" s="19"/>
      <c r="F619" s="168" t="s">
        <v>43</v>
      </c>
      <c r="G619" s="169" t="s">
        <v>113</v>
      </c>
      <c r="H619" s="88" t="str" cm="1">
        <f t="array" ref="H619">_xlfn.IFS(AND(F619&lt;&gt;"非削孔",F619&lt;&gt;"無設定"),D634,F619="非削孔",IF(MID(D623,1,3)="土留め","非削孔","箱抜き"),F619="無設定","無設定")</f>
        <v>箱抜き</v>
      </c>
      <c r="I619" s="23" t="str">
        <f>IF(F619="無設定","","m")</f>
        <v>m</v>
      </c>
      <c r="J619" s="170">
        <v>0.5</v>
      </c>
      <c r="K619" s="30">
        <f>D619*J619</f>
        <v>5</v>
      </c>
    </row>
    <row r="620" spans="2:11" ht="12" customHeight="1">
      <c r="B620" s="171" t="s">
        <v>37</v>
      </c>
      <c r="C620" s="50" t="s">
        <v>38</v>
      </c>
      <c r="D620" s="172" t="s">
        <v>159</v>
      </c>
      <c r="E620" s="173"/>
      <c r="F620" s="174" t="s">
        <v>49</v>
      </c>
      <c r="G620" s="169" t="s">
        <v>114</v>
      </c>
      <c r="H620" s="88" cm="1">
        <f t="array" ref="H620">_xlfn.IFS(AND(F620&lt;&gt;"非削孔",F620&lt;&gt;"無設定"),D634,F620="非削孔","箱抜き",F620="無設定","無設定")</f>
        <v>90</v>
      </c>
      <c r="I620" s="23" t="str">
        <f t="shared" ref="I620:I628" si="24">IF(F620="無設定","","m")</f>
        <v>m</v>
      </c>
      <c r="J620" s="170">
        <v>2.64</v>
      </c>
      <c r="K620" s="30">
        <f>D619*J620</f>
        <v>26.400000000000002</v>
      </c>
    </row>
    <row r="621" spans="2:11" ht="12" customHeight="1">
      <c r="B621" s="52" t="s">
        <v>39</v>
      </c>
      <c r="C621" s="91" t="s">
        <v>38</v>
      </c>
      <c r="D621" s="175" t="s">
        <v>60</v>
      </c>
      <c r="E621" s="140"/>
      <c r="F621" s="174" t="s">
        <v>49</v>
      </c>
      <c r="G621" s="169" t="s">
        <v>115</v>
      </c>
      <c r="H621" s="88" cm="1">
        <f t="array" ref="H621">_xlfn.IFS(AND(F621&lt;&gt;"非削孔",F621&lt;&gt;"無設定"),D634,F621="非削孔","箱抜き",F621="無設定","無設定")</f>
        <v>90</v>
      </c>
      <c r="I621" s="23" t="str">
        <f t="shared" si="24"/>
        <v>m</v>
      </c>
      <c r="J621" s="170">
        <v>5.36</v>
      </c>
      <c r="K621" s="30">
        <f>D619*J621</f>
        <v>53.6</v>
      </c>
    </row>
    <row r="622" spans="2:11" ht="12" customHeight="1">
      <c r="B622" s="147" t="s">
        <v>140</v>
      </c>
      <c r="C622" s="91" t="s">
        <v>38</v>
      </c>
      <c r="D622" s="176" t="s">
        <v>141</v>
      </c>
      <c r="E622" s="141"/>
      <c r="F622" s="174" t="s">
        <v>48</v>
      </c>
      <c r="G622" s="169"/>
      <c r="H622" s="88" t="str" cm="1">
        <f t="array" ref="H622">_xlfn.IFS(AND(F622&lt;&gt;"非削孔",F622&lt;&gt;"無設定"),D634,F622="非削孔","箱抜き",F622="無設定","無設定")</f>
        <v>無設定</v>
      </c>
      <c r="I622" s="23" t="str">
        <f t="shared" si="24"/>
        <v/>
      </c>
      <c r="J622" s="170">
        <v>0</v>
      </c>
      <c r="K622" s="30">
        <f>D619*J622</f>
        <v>0</v>
      </c>
    </row>
    <row r="623" spans="2:11" ht="12" customHeight="1">
      <c r="B623" s="147" t="s">
        <v>142</v>
      </c>
      <c r="C623" s="91" t="s">
        <v>38</v>
      </c>
      <c r="D623" s="177" t="s">
        <v>160</v>
      </c>
      <c r="E623" s="21"/>
      <c r="F623" s="174" t="s">
        <v>48</v>
      </c>
      <c r="G623" s="169"/>
      <c r="H623" s="88" t="str" cm="1">
        <f t="array" ref="H623">_xlfn.IFS(AND(F623&lt;&gt;"非削孔",F623&lt;&gt;"無設定"),D634,F623="非削孔","箱抜き",F623="無設定","無設定")</f>
        <v>無設定</v>
      </c>
      <c r="I623" s="23" t="str">
        <f t="shared" si="24"/>
        <v/>
      </c>
      <c r="J623" s="170">
        <v>0</v>
      </c>
      <c r="K623" s="30">
        <f>D619*J623</f>
        <v>0</v>
      </c>
    </row>
    <row r="624" spans="2:11" ht="12" customHeight="1">
      <c r="B624" s="114" t="str">
        <f>IF(MID(D623,1,3)="土留め",D623&amp;"の種類","")</f>
        <v/>
      </c>
      <c r="C624" s="91" t="s">
        <v>38</v>
      </c>
      <c r="D624" s="178" t="s">
        <v>71</v>
      </c>
      <c r="E624" s="21"/>
      <c r="F624" s="174" t="s">
        <v>48</v>
      </c>
      <c r="G624" s="169"/>
      <c r="H624" s="88" t="str" cm="1">
        <f t="array" ref="H624">_xlfn.IFS(AND(F624&lt;&gt;"非削孔",F624&lt;&gt;"無設定"),D634,F624="非削孔","箱抜き",F624="無設定","無設定")</f>
        <v>無設定</v>
      </c>
      <c r="I624" s="23" t="str">
        <f t="shared" si="24"/>
        <v/>
      </c>
      <c r="J624" s="170">
        <v>0</v>
      </c>
      <c r="K624" s="30">
        <f>D619*J624</f>
        <v>0</v>
      </c>
    </row>
    <row r="625" spans="2:11" ht="12" customHeight="1">
      <c r="B625" s="179" t="s">
        <v>50</v>
      </c>
      <c r="C625" s="180" t="s">
        <v>38</v>
      </c>
      <c r="D625" s="181" t="s">
        <v>51</v>
      </c>
      <c r="E625" s="182"/>
      <c r="F625" s="174" t="s">
        <v>48</v>
      </c>
      <c r="G625" s="169"/>
      <c r="H625" s="88" t="str" cm="1">
        <f t="array" ref="H625">_xlfn.IFS(AND(F625&lt;&gt;"非削孔",F625&lt;&gt;"無設定"),D634,F625="非削孔","箱抜き",F625="無設定","無設定")</f>
        <v>無設定</v>
      </c>
      <c r="I625" s="23" t="str">
        <f t="shared" si="24"/>
        <v/>
      </c>
      <c r="J625" s="170">
        <v>0</v>
      </c>
      <c r="K625" s="30">
        <f>D619*J625</f>
        <v>0</v>
      </c>
    </row>
    <row r="626" spans="2:11" ht="12" customHeight="1">
      <c r="B626" s="160" t="str" cm="1">
        <f t="array" ref="B626">"頭部自由長"&amp;_xlfn.IFS(MID(D623,1,2)="なし","",MID(D623,1,3)="受圧体","(受圧体)",MID(D623,1,3)="のり面","(角度台座＋受圧体)",MID(D623,1,3)="構造物","(壁面台座)",MID(D623,1,3)="土留め","(台座+腹起し)")&amp;"　Lfh"</f>
        <v>頭部自由長(角度台座＋受圧体)　Lfh</v>
      </c>
      <c r="C626" s="155" t="s">
        <v>23</v>
      </c>
      <c r="D626" s="183">
        <v>0.5</v>
      </c>
      <c r="E626" s="21"/>
      <c r="F626" s="174" t="s">
        <v>144</v>
      </c>
      <c r="G626" s="169"/>
      <c r="H626" s="88" cm="1">
        <f t="array" ref="H626">_xlfn.IFS(AND(F626&lt;&gt;"非削孔",F626&lt;&gt;"無設定"),D634,F626="非削孔","箱抜き",F626="無設定","無設定")</f>
        <v>90</v>
      </c>
      <c r="I626" s="23" t="str">
        <f t="shared" si="24"/>
        <v>m</v>
      </c>
      <c r="J626" s="170">
        <v>0</v>
      </c>
      <c r="K626" s="30">
        <f>D619*J626</f>
        <v>0</v>
      </c>
    </row>
    <row r="627" spans="2:11" ht="12" customHeight="1">
      <c r="B627" s="22" t="s">
        <v>108</v>
      </c>
      <c r="C627" s="23" t="s">
        <v>23</v>
      </c>
      <c r="D627" s="184">
        <v>4</v>
      </c>
      <c r="E627" s="21"/>
      <c r="F627" s="174" t="s">
        <v>48</v>
      </c>
      <c r="G627" s="169"/>
      <c r="H627" s="88" t="str" cm="1">
        <f t="array" ref="H627">_xlfn.IFS(AND(F627&lt;&gt;"非削孔",F627&lt;&gt;"無設定"),D634,F627="非削孔","箱抜き",F627="無設定","無設定")</f>
        <v>無設定</v>
      </c>
      <c r="I627" s="23" t="str">
        <f t="shared" si="24"/>
        <v/>
      </c>
      <c r="J627" s="170">
        <v>0</v>
      </c>
      <c r="K627" s="30">
        <f>D619*J627</f>
        <v>0</v>
      </c>
    </row>
    <row r="628" spans="2:11" ht="12" customHeight="1">
      <c r="B628" s="157" t="s">
        <v>36</v>
      </c>
      <c r="C628" s="158" t="s">
        <v>23</v>
      </c>
      <c r="D628" s="185">
        <v>4</v>
      </c>
      <c r="F628" s="186" t="str" cm="1">
        <f t="array" ref="F628">INDEX(F619:H627,MATCH("無設定",F619:F627,0)-1,MATCH(F618,F618:H618,0))</f>
        <v>軟　岩</v>
      </c>
      <c r="G628" s="100" t="str" cm="1">
        <f t="array" ref="G628">INDEX(F619:H627,MATCH("無設定",F619:F627,0)-1,MATCH(G618,F618:H618,0))&amp;"　(先端長 L2d)"</f>
        <v>風化岩 CL　(先端長 L2d)</v>
      </c>
      <c r="H628" s="88" cm="1">
        <f t="array" ref="H628">INDEX(F619:H627,MATCH("無設定",F619:F627,0)-1,MATCH(H618,F618:H618,0))</f>
        <v>90</v>
      </c>
      <c r="I628" s="23" t="str">
        <f t="shared" si="24"/>
        <v>m</v>
      </c>
      <c r="J628" s="98">
        <f>D633</f>
        <v>0.25</v>
      </c>
      <c r="K628" s="78">
        <f>IFERROR(D619*J628,"")</f>
        <v>2.5</v>
      </c>
    </row>
    <row r="629" spans="2:11" ht="12" customHeight="1">
      <c r="B629" s="154" t="s">
        <v>145</v>
      </c>
      <c r="C629" s="155" t="s">
        <v>23</v>
      </c>
      <c r="D629" s="187">
        <f>IF(OR(D619=0,D620="　"),"──",SUM(D626:D627))</f>
        <v>4.5</v>
      </c>
      <c r="E629" s="19"/>
      <c r="F629" s="188"/>
      <c r="G629" s="75" t="s">
        <v>124</v>
      </c>
      <c r="H629" s="103"/>
      <c r="I629" s="18" t="s">
        <v>23</v>
      </c>
      <c r="J629" s="74">
        <f>SUMIFS(J619:J628,F619:F628,"&lt;&gt;非削孔",F619:F628,"&lt;&gt;無設定")</f>
        <v>8.25</v>
      </c>
      <c r="K629" s="95">
        <f>SUMIFS(K619:K628,F619:F628,"&lt;&gt;非削孔",F619:F628,"&lt;&gt;無設定")</f>
        <v>82.5</v>
      </c>
    </row>
    <row r="630" spans="2:11" ht="12" customHeight="1">
      <c r="B630" s="146" t="s">
        <v>146</v>
      </c>
      <c r="C630" s="23" t="s">
        <v>23</v>
      </c>
      <c r="D630" s="189" cm="1">
        <f t="array" ref="D630">IF(OR(D619=0,D620="　"),"──",IF(MID(D620,4,1)="5",_xlfn.IFS(1*MID(LEFT(D620, LEN(D620)-1),6,2)&lt;8,1,1*MID(LEFT(D620, LEN(D620)-1),6,2)&lt;13,1.2),_xlfn.IFS(1*MID(LEFT(D620, LEN(D620)-1),6,2)&lt;6,1,1*MID(LEFT(D620, LEN(D620)-1),6,2)&lt;15,1.2)))</f>
        <v>1</v>
      </c>
      <c r="E630" s="19"/>
      <c r="F630" s="190"/>
      <c r="G630" s="76" t="s">
        <v>47</v>
      </c>
      <c r="H630" s="104"/>
      <c r="I630" s="79" t="s">
        <v>46</v>
      </c>
      <c r="J630" s="77" t="str">
        <f>IF(OR(D619=0,D620="　"),"",IF(SUM(D627:D628,D633)=J629,"OK","NG"))</f>
        <v>OK</v>
      </c>
      <c r="K630" s="145" t="str">
        <f>IF(J630&lt;&gt;"NG","──",J629-SUM(D627:D628,D633))</f>
        <v>──</v>
      </c>
    </row>
    <row r="631" spans="2:11" ht="12" customHeight="1">
      <c r="B631" s="22" t="s">
        <v>125</v>
      </c>
      <c r="C631" s="23" t="s">
        <v>35</v>
      </c>
      <c r="D631" s="84">
        <f>IF(OR(D619=0,D620="　"),"──",0.2)</f>
        <v>0.2</v>
      </c>
      <c r="F631" s="191" t="s">
        <v>58</v>
      </c>
      <c r="G631" s="248" t="s">
        <v>110</v>
      </c>
      <c r="H631" s="249"/>
      <c r="I631" s="249"/>
      <c r="J631" s="249"/>
      <c r="K631" s="250"/>
    </row>
    <row r="632" spans="2:11" ht="12" customHeight="1">
      <c r="B632" s="6" t="s">
        <v>147</v>
      </c>
      <c r="C632" s="23" t="s">
        <v>23</v>
      </c>
      <c r="D632" s="60">
        <f>IF(OR(D619=0,D620="　"),"──",SUM(D628:D631))</f>
        <v>9.6999999999999993</v>
      </c>
    </row>
    <row r="633" spans="2:11" ht="12" customHeight="1">
      <c r="B633" s="25" t="s">
        <v>127</v>
      </c>
      <c r="C633" s="26" t="s">
        <v>23</v>
      </c>
      <c r="D633" s="27">
        <f>IF(OR(D619=0,D620="　"),"──",0.25)</f>
        <v>0.25</v>
      </c>
      <c r="F633" s="8"/>
      <c r="G633" s="8"/>
      <c r="H633" s="102"/>
    </row>
    <row r="634" spans="2:11" ht="12" customHeight="1">
      <c r="B634" s="95" t="s">
        <v>123</v>
      </c>
      <c r="C634" s="18" t="s">
        <v>32</v>
      </c>
      <c r="D634" s="192">
        <v>90</v>
      </c>
      <c r="E634" s="193" t="str">
        <f>IF(D634&lt;D635,"NG：削孔径不適合","")</f>
        <v/>
      </c>
      <c r="F634" s="8"/>
      <c r="G634" s="8"/>
      <c r="H634" s="102"/>
    </row>
    <row r="635" spans="2:11" ht="12" customHeight="1">
      <c r="B635" s="25" t="s">
        <v>122</v>
      </c>
      <c r="C635" s="26" t="s">
        <v>32</v>
      </c>
      <c r="D635" s="194" cm="1">
        <f t="array" ref="D635">IF(OR(D619=0,D620="　"),"──",IF(D625="なし",IF(MID(D620,4,1)="5",_xlfn.IFS(1*MID(LEFT(D620, LEN(D620)-1),6,2)&lt;6,90,1*MID(LEFT(D620, LEN(D620)-1),6,2)&lt;9,115,1*MID(LEFT(D620, LEN(D620)-1),6,2)&gt;8,135),_xlfn.IFS(1*MID(LEFT(D620, LEN(D620)-1),6,2)&lt;4,90,1*MID(LEFT(D620, LEN(D620)-1),6,2)&lt;7,115,1*MID(LEFT(D620, LEN(D620)-1),6,2)&lt;10,135,1*MID(LEFT(D620, LEN(D620)-1),6,2)&lt;13,146,1*MID(LEFT(D620, LEN(D620)-1),6,2)&gt;12,165)),IF(MID(D620,4,1)="5",_xlfn.IFS(1*MID(LEFT(D620, LEN(D620)-1),6,2)&lt;3,90,1*MID(LEFT(D620, LEN(D620)-1),6,2)&lt;7,115,1*MID(LEFT(D620, LEN(D620)-1),6,2)&lt;9,135,1*MID(LEFT(D620, LEN(D620)-1),6,2)&gt;8,146),_xlfn.IFS(1*MID(LEFT(D620, LEN(D620)-1),6,2)&lt;3,90,1*MID(LEFT(D620, LEN(D620)-1),6,2)&lt;4,115,1*MID(LEFT(D620, LEN(D620)-1),6,2)&lt;6,135,1*MID(LEFT(D620, LEN(D620)-1),6,2)&lt;10,146,1*MID(LEFT(D620, LEN(D620)-1),6,2)&lt;13,165,1*MID(LEFT(D620, LEN(D620)-1),6,2)&gt;12,216))))</f>
        <v>90</v>
      </c>
      <c r="E635" s="195"/>
      <c r="F635" s="8"/>
      <c r="G635" s="8"/>
      <c r="H635" s="102"/>
    </row>
    <row r="636" spans="2:11" ht="12" customHeight="1">
      <c r="B636" s="20"/>
      <c r="C636" s="46"/>
      <c r="D636" s="117"/>
      <c r="F636" s="8"/>
      <c r="G636" s="8"/>
      <c r="H636" s="102"/>
    </row>
    <row r="637" spans="2:11" ht="12" customHeight="1">
      <c r="B637" s="15" t="str">
        <f>"■"&amp;MID(B614,2,14)</f>
        <v>■本設：EHDアンカーHP工法</v>
      </c>
      <c r="C637" s="3"/>
      <c r="D637" s="1"/>
      <c r="E637" s="1"/>
      <c r="F637" s="8"/>
      <c r="G637" s="8"/>
      <c r="H637" s="102"/>
    </row>
    <row r="638" spans="2:11" ht="12" customHeight="1">
      <c r="B638" s="2" t="s">
        <v>17</v>
      </c>
      <c r="C638" s="43"/>
      <c r="D638" s="196" t="s">
        <v>148</v>
      </c>
      <c r="E638" s="135"/>
      <c r="F638" s="16"/>
      <c r="G638" s="61" t="s">
        <v>42</v>
      </c>
      <c r="H638" s="97"/>
      <c r="I638" s="2" t="s">
        <v>21</v>
      </c>
      <c r="J638" s="49" t="s">
        <v>149</v>
      </c>
      <c r="K638" s="2" t="s">
        <v>28</v>
      </c>
    </row>
    <row r="639" spans="2:11" ht="12" customHeight="1">
      <c r="B639" s="197" t="s">
        <v>150</v>
      </c>
      <c r="C639" s="198" t="str">
        <f>IF(OR(D619=0,D620="　"),"",D620&amp;" ("&amp;MID(LEFT(D620, LEN(D620)-1),6,2)&amp;IF(MID(D620,4,1)="5","φ12.7","φ15.2")&amp;")")</f>
        <v>EHD5-4H (4φ12.7)</v>
      </c>
      <c r="D639" s="199"/>
      <c r="E639" s="200"/>
      <c r="F639" s="201" t="str">
        <f>"W=テンドン長×PC鋼より線本数×"&amp;IF(MID(D620,4,1)="5","0.774","1.101")&amp;"kg/m"</f>
        <v>W=テンドン長×PC鋼より線本数×0.774kg/m</v>
      </c>
      <c r="G639" s="202"/>
      <c r="H639" s="203"/>
      <c r="I639" s="204" t="s">
        <v>11</v>
      </c>
      <c r="J639" s="205">
        <f>IF(OR(D619=0,D620="　"),"",MROUND(D632*MID(LEFT(D620, LEN(D620)-1),6,2)*IF(MID(D620,4,1)="5","0.774","1.101"),0.01))</f>
        <v>30.03</v>
      </c>
      <c r="K639" s="205">
        <f>IFERROR(D619*J639,"")</f>
        <v>300.3</v>
      </c>
    </row>
    <row r="640" spans="2:11" ht="12" customHeight="1">
      <c r="B640" s="206" t="s">
        <v>151</v>
      </c>
      <c r="C640" s="207"/>
      <c r="D640" s="208"/>
      <c r="E640" s="209"/>
      <c r="F640" s="210" t="s">
        <v>33</v>
      </c>
      <c r="G640" s="211"/>
      <c r="H640" s="212"/>
      <c r="I640" s="213" t="s">
        <v>12</v>
      </c>
      <c r="J640" s="214">
        <f>IF(OR(D619=0,D620="　"),"",MROUND(D632,0.1))</f>
        <v>9.7000000000000011</v>
      </c>
      <c r="K640" s="214">
        <f>IFERROR(D619*J640,"")</f>
        <v>97.000000000000014</v>
      </c>
    </row>
    <row r="641" spans="2:11" ht="12" customHeight="1">
      <c r="B641" s="206" t="str">
        <f>"頭部キャップ"</f>
        <v>頭部キャップ</v>
      </c>
      <c r="C641" s="207" t="str" cm="1">
        <f t="array" ref="C641">IF(OR(D619=0,D620="　"),"",IF(MID(D620,4,1)="5",_xlfn.SWITCH(1*MID(LEFT(D620, LEN(D620)-1),6,2),1,"S",2,"S",3,"S",4,"S",5,"M",6,"M",7,"M",8,"L",9,"L",10,"L",11,"L",12,"L"),_xlfn.SWITCH(1*MID(LEFT(D620, LEN(D620)-1),6,2),1,"S",2,"S",3,"M",4,"M",5,"L",6,"L",7,"L",8,"LL",9,"LL",10,"LL",11,"LL",12,"LL",13,"LL",14,"LL"))&amp;"型"&amp;D622&amp;IF(OR(MID(D622,1,2)="透明",MID(D622,1,2)="5窓"),"、PC樹脂","")&amp;"、ｱﾙﾐAC4C相当"&amp;_xlfn.IFS(MID(D621,1,3)="防食Ⅱ","",MID(D621,5,2)="塩害","、防食：ﾀｹｺｰﾄ処理",MID(D621,5,2)="酸性","、防食：重防食処理"))</f>
        <v>S型透明キャップ、PC樹脂、ｱﾙﾐAC4C相当</v>
      </c>
      <c r="D641" s="215"/>
      <c r="E641" s="216"/>
      <c r="F641" s="217" t="str">
        <f t="shared" ref="F641:F647" si="25">"n=1"</f>
        <v>n=1</v>
      </c>
      <c r="G641" s="218"/>
      <c r="H641" s="219"/>
      <c r="I641" s="213" t="s">
        <v>13</v>
      </c>
      <c r="J641" s="220" t="str">
        <f>IF(OR(D619=0,D620="　"),"",MID(F641,3,2))</f>
        <v>1</v>
      </c>
      <c r="K641" s="214">
        <f>IFERROR(D619*J641,"")</f>
        <v>10</v>
      </c>
    </row>
    <row r="642" spans="2:11" ht="12" customHeight="1">
      <c r="B642" s="206" t="s">
        <v>5</v>
      </c>
      <c r="C642" s="207" t="str" cm="1">
        <f t="array" ref="C642">IF(OR(D619=0,D620="　"),"",IF(MID(D620,4,1)="5","G5"&amp;_xlfn.SWITCH(1*MID(LEFT(D620, LEN(D620)-1),6,2),1,"01",2,"02",3,"03",4,"04",5,"07",6,"07",7,"07",8,"09",9,"09",10,"12",11,"12",12,"12"),"G6"&amp;_xlfn.SWITCH(1*MID(LEFT(D620, LEN(D620)-1),6,2),1,"01",2,"02",3,"03",4,"04",5,"07",6,"07",7,"07",8,"09",9,"09",10,"12",11,"12",12,"12",13,"14",14,"14"))&amp;"、S45C相当"&amp;IF(MID(D622,1,3)&lt;&gt;"アルミ","、防食：無電解Niめっき",""))</f>
        <v>G504、S45C相当、防食：無電解Niめっき</v>
      </c>
      <c r="D642" s="208"/>
      <c r="E642" s="209"/>
      <c r="F642" s="217" t="str">
        <f t="shared" si="25"/>
        <v>n=1</v>
      </c>
      <c r="G642" s="218"/>
      <c r="H642" s="219"/>
      <c r="I642" s="213" t="s">
        <v>13</v>
      </c>
      <c r="J642" s="220" t="str">
        <f>IF(OR(D619=0,D620="　"),"",MID(F642,3,2))</f>
        <v>1</v>
      </c>
      <c r="K642" s="214">
        <f>IFERROR(D619*J642,"")</f>
        <v>10</v>
      </c>
    </row>
    <row r="643" spans="2:11" ht="12" customHeight="1">
      <c r="B643" s="206" t="s">
        <v>152</v>
      </c>
      <c r="C643" s="207" t="str" cm="1">
        <f t="array" ref="C643">IF(OR(D619=0,D620="　"),"",IF(MID(D620,4,1)="5","G5"&amp;_xlfn.SWITCH(1*MID(LEFT(D620, LEN(D620)-1),6,2),1,"01",2,"02",3,"03",4,"04",5,"07",6,"07",7,"07",8,"09",9,"09",10,"12",11,"12",12,"12"),"G6"&amp;_xlfn.SWITCH(1*MID(LEFT(D620, LEN(D620)-1),6,2),1,"01",2,"02",3,"03",4,"04",5,"07",6,"07",7,"07",8,"09",9,"09",10,"12",11,"12",12,"12",13,"14",14,"14"))&amp;"、S45C相当"&amp;IF(MID(D622,1,3)&lt;&gt;"アルミ","、防食：無電解Niめっき",""))</f>
        <v>G504、S45C相当、防食：無電解Niめっき</v>
      </c>
      <c r="D643" s="208"/>
      <c r="E643" s="209"/>
      <c r="F643" s="217" t="str">
        <f t="shared" si="25"/>
        <v>n=1</v>
      </c>
      <c r="G643" s="218"/>
      <c r="H643" s="219"/>
      <c r="I643" s="213" t="s">
        <v>13</v>
      </c>
      <c r="J643" s="220" t="str">
        <f>IF(OR(D619=0,D620="　"),"",MID(F643,3,2))</f>
        <v>1</v>
      </c>
      <c r="K643" s="214">
        <f>IFERROR(D619*J643,"")</f>
        <v>10</v>
      </c>
    </row>
    <row r="644" spans="2:11" ht="12" customHeight="1">
      <c r="B644" s="206" t="s">
        <v>7</v>
      </c>
      <c r="C644" s="207" t="str">
        <f>IF(OR(D619=0,D620="　"),"",IF(1*MID(D620,4,1)=5,"ECF12.7","ECF15.2")&amp;"、SCM415相当"&amp;IF(MID(D622,1,3)&lt;&gt;"アルミ","、防食：無電解Niめっき",""))</f>
        <v>ECF12.7、SCM415相当、防食：無電解Niめっき</v>
      </c>
      <c r="D644" s="208"/>
      <c r="E644" s="209"/>
      <c r="F644" s="217" t="str">
        <f t="shared" si="25"/>
        <v>n=1</v>
      </c>
      <c r="G644" s="218"/>
      <c r="H644" s="219"/>
      <c r="I644" s="213" t="s">
        <v>27</v>
      </c>
      <c r="J644" s="220" t="str">
        <f>IF(OR(D619=0,D620="　"),"",MID(F644,3,2))</f>
        <v>1</v>
      </c>
      <c r="K644" s="214">
        <f>IFERROR(D619*J644,"")</f>
        <v>10</v>
      </c>
    </row>
    <row r="645" spans="2:11" ht="12" customHeight="1">
      <c r="B645" s="206" t="s">
        <v>153</v>
      </c>
      <c r="C645" s="207" t="str" cm="1">
        <f t="array" ref="C645">IF(OR(D619=0,D620="　"),"",IF(MID(D620,4,1)="5","G5"&amp;_xlfn.SWITCH(1*MID(LEFT(D620, LEN(D620)-1),6,2),1,"01",2,"04",3,"03",4,"04",5,"07",6,"07",7,"07",8,"12",9,"12",10,"12",11,"12",12,"12"),"G6"&amp;_xlfn.SWITCH(1*MID(LEFT(D620, LEN(D620)-1),6,2),1,"01",2,"02",3,"03",4,"04",5,"07",6,"07",7,"07",8,"12",9,"12",10,"12",11,"12",12,"12",13,"14",14,"14"))&amp;"、SS400相当、防食："&amp;_xlfn.IFS(MID(D621,1,3)="防食Ⅱ","HDZT77めっき",MID(D621,5,2)="塩害","ｱﾙﾐﾅｲｽﾞ処理",MID(D621,5,2)="酸性","重防食処理"))</f>
        <v>G504、SS400相当、防食：HDZT77めっき</v>
      </c>
      <c r="D645" s="208"/>
      <c r="E645" s="209"/>
      <c r="F645" s="217" t="str">
        <f t="shared" si="25"/>
        <v>n=1</v>
      </c>
      <c r="G645" s="218"/>
      <c r="H645" s="219"/>
      <c r="I645" s="213" t="s">
        <v>16</v>
      </c>
      <c r="J645" s="220" t="str">
        <f>IF(OR(D619=0,D620="　"),"",MID(F645,3,2))</f>
        <v>1</v>
      </c>
      <c r="K645" s="214">
        <f>IFERROR(D619*J645,"")</f>
        <v>10</v>
      </c>
    </row>
    <row r="646" spans="2:11" ht="12" customHeight="1">
      <c r="B646" s="206" t="str">
        <f>IF(MID(D623,1,3)="のり面","管付","")&amp;"支圧板"</f>
        <v>管付支圧板</v>
      </c>
      <c r="C646" s="221" t="str" cm="1">
        <f t="array" ref="C646">IF(OR(D619=0,D620="　"),"","PL"&amp;IF(MID(D623,1,3)="のり面","P","")&amp;IF(MID(D620,4,1)="5","5-"&amp;_xlfn.SWITCH(1*MID(LEFT(D620, LEN(D620)-1),6,2),1,"1",2,"2",3,"3",4,"4",5,"5",6,"6",7,"7",8,"9",9,"9",10,"10",11,"11",12,"12"),"6-"&amp;_xlfn.SWITCH(1*MID(LEFT(D620, LEN(D620)-1),6,2),1,"1",2,"2",3,"3",4,"4",5,"6",6,"6",7,"7",8,"8",9,"9",10,"10",11,"11",12,"12",13,"14",14,"14"))&amp;"、SS400相当、防食："&amp;_xlfn.IFS(MID(D621,1,3)="防食Ⅱ","HDZT77めっき",MID(D621,5,2)="塩害","ｱﾙﾐﾅｲｽﾞ処理",MID(D621,5,2)="酸性","重防食処理"))</f>
        <v>PLP5-4、SS400相当、防食：HDZT77めっき</v>
      </c>
      <c r="D646" s="208"/>
      <c r="E646" s="209"/>
      <c r="F646" s="217" t="str">
        <f t="shared" si="25"/>
        <v>n=1</v>
      </c>
      <c r="G646" s="218"/>
      <c r="H646" s="219"/>
      <c r="I646" s="213" t="s">
        <v>16</v>
      </c>
      <c r="J646" s="220" t="str">
        <f>IF(OR(D619=0,D620="　"),"",MID(F646,3,2))</f>
        <v>1</v>
      </c>
      <c r="K646" s="214">
        <f>IFERROR(D619*J646,"")</f>
        <v>10</v>
      </c>
    </row>
    <row r="647" spans="2:11" ht="12" customHeight="1">
      <c r="B647" s="206" t="s">
        <v>154</v>
      </c>
      <c r="C647" s="207" t="str">
        <f>IF(OR(D619=0,D620="　"),"","G"&amp;MID(LEFT(D620, LEN(D620)-1),4,4)&amp;"、NBR45相当")</f>
        <v>G5-4、NBR45相当</v>
      </c>
      <c r="D647" s="208"/>
      <c r="E647" s="209"/>
      <c r="F647" s="217" t="str">
        <f t="shared" si="25"/>
        <v>n=1</v>
      </c>
      <c r="G647" s="218"/>
      <c r="H647" s="219"/>
      <c r="I647" s="213" t="s">
        <v>13</v>
      </c>
      <c r="J647" s="220" t="str">
        <f>IF(OR(D619=0,D620="　"),"",MID(F647,3,2))</f>
        <v>1</v>
      </c>
      <c r="K647" s="214">
        <f>IFERROR(D619*J647,"")</f>
        <v>10</v>
      </c>
    </row>
    <row r="648" spans="2:11" ht="12" customHeight="1">
      <c r="B648" s="206" t="str" cm="1">
        <f t="array" ref="B648">_xlfn.IFS(OR(D619=0,D620="　"),"",MID(D622,1,3)="アルミ","頭部防錆油",MID(D622,1,3)&lt;&gt;"アルミ","余長キャップ")</f>
        <v>余長キャップ</v>
      </c>
      <c r="C648" s="221" t="str" cm="1">
        <f t="array" ref="C648">_xlfn.IFS(OR(D619=0,D620="　"),"",MID(D622,1,3)="アルミ","PCコートC",MID(D622,1,3)&lt;&gt;"アルミ","TC"&amp;MID(D620,4,1)&amp;"、高密度ポチエチレン")</f>
        <v>TC5、高密度ポチエチレン</v>
      </c>
      <c r="D648" s="208"/>
      <c r="E648" s="209"/>
      <c r="F648" s="217" t="str" cm="1">
        <f t="array" ref="F648">_xlfn.IFS(OR(D619=0,D620="　"),"",MID(D622,1,3)="アルミ","W="&amp;IF(MID(D620,4,1)="5",_xlfn.SWITCH(1*MID(LEFT(D620, LEN(D620)-1),6,2),1,1.9,2,1.3,3,1.3,4,1.3,5,1.6,6,1.6,7,1.6,8,3.1,9,3.1,10,3.1,11,3.1,12,3.1),"G6"&amp;_xlfn.SWITCH(1*MID(LEFT(D620, LEN(D620)-1),6,2),1,1.8,2,1.3,3,1.8,4,1.8,5,3.3,6,3.3,7,3.3,8,9.9,9,9.9,10,9.9,11,9.9,12,9.9,13,9.9,14,9.9)),MID(D622,1,3)&lt;&gt;"アルミ","n=1")</f>
        <v>n=1</v>
      </c>
      <c r="G648" s="218"/>
      <c r="H648" s="219"/>
      <c r="I648" s="213" t="str" cm="1">
        <f t="array" ref="I648">_xlfn.IFS(OR(D619=0,D620="　"),"",MID(D622,1,3)="アルミ","kg",MID(D622,1,3)&lt;&gt;"アルミ","式")</f>
        <v>式</v>
      </c>
      <c r="J648" s="220" t="str">
        <f>IF(OR(D619=0,D620="　"),"",MID(F648,3,4))</f>
        <v>1</v>
      </c>
      <c r="K648" s="214">
        <f>IFERROR(D619*J648,"")</f>
        <v>10</v>
      </c>
    </row>
    <row r="649" spans="2:11" ht="12" customHeight="1">
      <c r="B649" s="206" t="s">
        <v>9</v>
      </c>
      <c r="C649" s="207" t="str" cm="1">
        <f t="array" ref="C649">IF(OR(D619=0,D620="　"),"",IF(MID(D620,4,1)="5","PS5-"&amp;_xlfn.SWITCH(1*MID(LEFT(D620, LEN(D620)-1),6,2),1,"7",2,"2",3,"3",4,"4",5,"7",6,"7",7,"7",8,"12",9,"12",10,"12",11,"12",12,"12"),"PS6-"&amp;_xlfn.SWITCH(1*MID(LEFT(D620, LEN(D620)-1),6,2),1,"7",2,"2",3,"3",4,"4",5,"7",6,"7",7,"7",8,"12",9,"12",10,"12",11,"12",12,"12",13,"14",14,"14"))&amp;"、高密度ポリエチレン")</f>
        <v>PS5-4、高密度ポリエチレン</v>
      </c>
      <c r="D649" s="208"/>
      <c r="E649" s="209"/>
      <c r="F649" s="217" t="str">
        <f>"n=2"</f>
        <v>n=2</v>
      </c>
      <c r="G649" s="218"/>
      <c r="H649" s="219"/>
      <c r="I649" s="213" t="s">
        <v>13</v>
      </c>
      <c r="J649" s="220" t="str">
        <f>IF(OR(D619=0,D620="　"),"",MID(F649,3,2))</f>
        <v>2</v>
      </c>
      <c r="K649" s="214">
        <f>IFERROR(D619*J649,"")</f>
        <v>20</v>
      </c>
    </row>
    <row r="650" spans="2:11" ht="12" customHeight="1">
      <c r="B650" s="206" t="s">
        <v>2</v>
      </c>
      <c r="C650" s="207" t="str" cm="1">
        <f t="array" ref="C650">IF(OR(D619=0,D620="　"),"",IF(MID(D620,4,1)="5","S5-"&amp;_xlfn.IFS(1*MID(LEFT(D620, LEN(D620)-1),6,2)&lt;6,"5",1*MID(LEFT(D620, LEN(D620)-1),6,2)&lt;9,"8",1*MID(LEFT(D620, LEN(D620)-1),6,2)&gt;8,"12"),"S6-"&amp;_xlfn.IFS(1*MID(LEFT(D620, LEN(D620)-1),6,2)&lt;4,"3",1*MID(LEFT(D620, LEN(D620)-1),6,2)&lt;7,"6",1*MID(LEFT(D620, LEN(D620)-1),6,2)&lt;10,"9",1*MID(LEFT(D620, LEN(D620)-1),6,2)&lt;13,"12",1*MID(LEFT(D620, LEN(D620)-1),6,2)&gt;12,"14"))&amp;"、ポリプロピレン")</f>
        <v>S5-5、ポリプロピレン</v>
      </c>
      <c r="D650" s="208"/>
      <c r="E650" s="209"/>
      <c r="F650" s="222" t="s">
        <v>155</v>
      </c>
      <c r="G650" s="211"/>
      <c r="H650" s="212"/>
      <c r="I650" s="213" t="s">
        <v>13</v>
      </c>
      <c r="J650" s="206">
        <f>IF(OR(D619=0,D620="　"),"",MROUND((D628-0.4)/1,1))</f>
        <v>4</v>
      </c>
      <c r="K650" s="214">
        <f>IFERROR(D619*J650,"")</f>
        <v>40</v>
      </c>
    </row>
    <row r="651" spans="2:11" ht="12" customHeight="1">
      <c r="B651" s="206" t="s">
        <v>1</v>
      </c>
      <c r="C651" s="207" t="str" cm="1">
        <f t="array" ref="C651">IF(OR(D619=0,D620="　"),"",IF(MID(D620,4,1)="5","PC5-"&amp;_xlfn.IFS(1*MID(LEFT(D620, LEN(D620)-1),6,2)&lt;5,"4",1*MID(LEFT(D620, LEN(D620)-1),6,2)&lt;8,"7",1*MID(LEFT(D620, LEN(D620)-1),6,2)&lt;10,"9",1*MID(LEFT(D620, LEN(D620)-1),6,2)&gt;9,"12"),"PC6-"&amp;_xlfn.IFS(1*MID(LEFT(D620, LEN(D620)-1),6,2)&lt;4,"3",1*MID(LEFT(D620, LEN(D620)-1),6,2)&lt;8,"7",1*MID(LEFT(D620, LEN(D620)-1),6,2)&lt;13,"12",1*MID(LEFT(D620, LEN(D620)-1),6,2)&gt;12,"14"))&amp;"、ポリプロピレン")</f>
        <v>PC5-4、ポリプロピレン</v>
      </c>
      <c r="D651" s="208"/>
      <c r="E651" s="209"/>
      <c r="F651" s="217" t="str">
        <f>"n=1"</f>
        <v>n=1</v>
      </c>
      <c r="G651" s="218"/>
      <c r="H651" s="219"/>
      <c r="I651" s="213" t="s">
        <v>13</v>
      </c>
      <c r="J651" s="220" t="str">
        <f>IF(OR(D619=0,D620="　"),"",MID(F651,3,2))</f>
        <v>1</v>
      </c>
      <c r="K651" s="214">
        <f>IFERROR(D619*J651,"")</f>
        <v>10</v>
      </c>
    </row>
    <row r="652" spans="2:11" ht="12" customHeight="1">
      <c r="B652" s="206" t="s">
        <v>3</v>
      </c>
      <c r="C652" s="207" t="str">
        <f>IF(OR(D619=0,D620="　"),"","66ナイロン")</f>
        <v>66ナイロン</v>
      </c>
      <c r="D652" s="208"/>
      <c r="E652" s="209"/>
      <c r="F652" s="222" t="s">
        <v>156</v>
      </c>
      <c r="G652" s="211"/>
      <c r="H652" s="212"/>
      <c r="I652" s="213" t="s">
        <v>14</v>
      </c>
      <c r="J652" s="206">
        <f>IF(OR(D619=0,D620="　"),"",2*J650)</f>
        <v>8</v>
      </c>
      <c r="K652" s="214">
        <f>IFERROR(D619*J652,"")</f>
        <v>80</v>
      </c>
    </row>
    <row r="653" spans="2:11" ht="12" customHeight="1">
      <c r="B653" s="206" t="s">
        <v>4</v>
      </c>
      <c r="C653" s="207" t="str">
        <f>IF(OR(D619=0,D620="　"),"","フィラメントテープ")</f>
        <v>フィラメントテープ</v>
      </c>
      <c r="D653" s="208"/>
      <c r="E653" s="209"/>
      <c r="F653" s="222" t="str">
        <f>IF(OR(D619=0,D620="　"),"","L=((自由長+緊張部長)÷@1.0m)×テープ係数"&amp;IF(MID(D620,4,1)="5",_xlfn.IFS(1*MID(LEFT(D620, LEN(D620)-1),6,2)&lt;4,"0.8",1*MID(LEFT(D620, LEN(D620)-1),6,2)&lt;7,"1.0",1*MID(LEFT(D620, LEN(D620)-1),6,2)&lt;10,"1.2",1*MID(LEFT(D620, LEN(D620)-1),6,2)&lt;13,"1.4"),_xlfn.IFS(1*MID(LEFT(D620, LEN(D620)-1),6,2)&lt;4,"1.0",1*MID(LEFT(D620, LEN(D620)-1),6,2)&lt;7,"1.2",1*MID(LEFT(D620, LEN(D620)-1),6,2)&lt;10,"1.4",1*MID(LEFT(D620, LEN(D620)-1),6,2)&lt;15,"1.8")))</f>
        <v>L=((自由長+緊張部長)÷@1.0m)×テープ係数1.0</v>
      </c>
      <c r="G653" s="211"/>
      <c r="H653" s="212"/>
      <c r="I653" s="213" t="s">
        <v>12</v>
      </c>
      <c r="J653" s="223">
        <f>IF(OR(D619=0,D620="　"),"",MROUND((SUM(D629,D630))/1*RIGHT(F653, 3),0.1))</f>
        <v>5.5</v>
      </c>
      <c r="K653" s="214">
        <f>IFERROR(D619*J653,"")</f>
        <v>55</v>
      </c>
    </row>
    <row r="654" spans="2:11" ht="12" customHeight="1">
      <c r="B654" s="206" t="s">
        <v>0</v>
      </c>
      <c r="C654" s="207" t="str">
        <f>IF(OR(D619=0,D620="　"),"","16/20、高密度ポリエチレン")</f>
        <v>16/20、高密度ポリエチレン</v>
      </c>
      <c r="D654" s="208"/>
      <c r="E654" s="209"/>
      <c r="F654" s="210" t="s">
        <v>33</v>
      </c>
      <c r="G654" s="211"/>
      <c r="H654" s="212"/>
      <c r="I654" s="213" t="s">
        <v>12</v>
      </c>
      <c r="J654" s="214">
        <f>IF(OR(D619=0,D620="　"),"",MROUND(D632,0.1))</f>
        <v>9.7000000000000011</v>
      </c>
      <c r="K654" s="214">
        <f>IFERROR(D619*J654,"")</f>
        <v>97.000000000000014</v>
      </c>
    </row>
    <row r="655" spans="2:11" ht="12" customHeight="1">
      <c r="B655" s="206" t="str" cm="1">
        <f t="array" ref="B655">_xlfn.IFS(OR(D619=0,D620="　",MID(D623,1,2)="なし",MID(D623,1,3)="受圧体"),"",MID(D623,1,3)="のり面","のり面角度台座",MID(D623,1,3)="構造物","構造物壁面台座",MID(D623,1,3)="土留め","土留め台座")</f>
        <v>のり面角度台座</v>
      </c>
      <c r="C655" s="210" t="str" cm="1">
        <f t="array" ref="C655">IF(OR(D619=0,D620="　",MID(D623,1,2)="なし",MID(D623,1,3)="受圧体"),"",_xlfn.IFS(MID(D623,1,3)="のり面",IF(1*MID(D620,4,1)=5,_xlfn.IFS(1*MID(LEFT(D620, LEN(D620)-1),6,2)&lt;5,"ST140",1*MID(LEFT(D620, LEN(D620)-1),6,2)&lt;8,"ST170",1*MID(LEFT(D620, LEN(D620)-1),6,2)&lt;13,"ST220"),_xlfn.IFS(1*MID(LEFT(D620, LEN(D620)-1),6,2)&lt;4,"ST140",1*MID(LEFT(D620, LEN(D620)-1),6,2)&lt;5,"ST170",1*MID(LEFT(D620, LEN(D620)-1),6,2)&lt;8,"ST220",1*MID(LEFT(D620, LEN(D620)-1),6,2)&lt;15,"非該当"))&amp;"、FCD450相当、防食："&amp;_xlfn.IFS(MID(D621,1,3)="防食Ⅱ","HDZT77めっき",MID(D621,5,2)="塩害","ｱﾙﾐﾅｲｽﾞ処理",MID(D621,5,2)="酸性","重防食処理"),OR(MID(D623,1,3)="構造物",MID(D623,1,3)="土留め"),D620&amp;"用"&amp;IF(OR(MID(D623,1,3)="構造物",D624="　"),"",D624)&amp;"、防食："&amp;_xlfn.IFS(MID(D621,1,3)="防食Ⅱ","HDZT77めっき",MID(D621,5,2)="塩害","ｱﾙﾐﾅｲｽﾞ処理",MID(D621,5,2)="酸性","重防食処理")))</f>
        <v>ST140、FCD450相当、防食：HDZT77めっき</v>
      </c>
      <c r="D655" s="208"/>
      <c r="E655" s="209"/>
      <c r="F655" s="217" t="str">
        <f>IF(OR(D623="なし",D623="受圧体のみ"),"","n=1")</f>
        <v>n=1</v>
      </c>
      <c r="G655" s="218"/>
      <c r="H655" s="219"/>
      <c r="I655" s="213" t="str">
        <f>IF(OR(D619=0,D620="　",B655=""),"","台")</f>
        <v>台</v>
      </c>
      <c r="J655" s="220" t="str">
        <f>IF(OR(D619=0,D620="　"),"",MID(F655,3,2))</f>
        <v>1</v>
      </c>
      <c r="K655" s="214">
        <f>IFERROR(D619*J655,"")</f>
        <v>10</v>
      </c>
    </row>
    <row r="656" spans="2:11" ht="12" customHeight="1">
      <c r="B656" s="206" t="str">
        <f>IF(OR(D619=0,D620="　",MID(D623,1,3)&lt;&gt;"のり面"),"","補剛板")</f>
        <v>補剛板</v>
      </c>
      <c r="C656" s="210" t="str" cm="1">
        <f t="array" ref="C656">IF(OR(D619=0,D620="　",MID(D623,1,3)&lt;&gt;"のり面"),"",IF(MID(D620,4,1)="5","□"&amp;_xlfn.SWITCH(1*MID(LEFT(D620, LEN(D620)-1),6,2),1,"210φ131t12",2,"210φ131t12",3,"240φ131t12",4,"270φ131t12",5,"280φ143t12",6,"310φ143t16",7,"350φ143t19",8,"350φ180t19",9,"350φ180t19",10,"350φ180t19",11,"350φ180t22",12,"350φ180t22"),"□"&amp;_xlfn.SWITCH(1*MID(LEFT(D620, LEN(D620)-1),6,2),1,"210,φ131,t12",2,"240,φ131,t12",3,"270,φ131,t16",4,"300,φ143,t16",5,"350,φ180,t16",6,"350,φ180,t16",7,"350,φ180,t19",8,"400,φ──,t12",9,"400,φ──,t12",10,"400,φ──,t12",11,"400,φ──,t12",12,"400,φ──,t12",13,"400,φ──,t12",14,"400,φ──,t12"))&amp;"、SS400相当、防食："&amp;_xlfn.IFS(MID(D621,1,3)="防食Ⅱ","HDZT77めっき",MID(D621,5,2)="塩害","ｱﾙﾐﾅｲｽﾞ処理",MID(D621,5,2)="酸性","重防食処理"))</f>
        <v>□270φ131t12、SS400相当、防食：HDZT77めっき</v>
      </c>
      <c r="D656" s="208"/>
      <c r="E656" s="209"/>
      <c r="F656" s="217" t="str">
        <f>IF(OR(D619=0,D620="　",MID(D623,1,3)&lt;&gt;"のり面"),"","n=1")</f>
        <v>n=1</v>
      </c>
      <c r="G656" s="218"/>
      <c r="H656" s="219"/>
      <c r="I656" s="213" t="str">
        <f>IF(OR(D619=0,D620="　",B656="",MID(D623,1,3)&lt;&gt;"のり面"),"","枚")</f>
        <v>枚</v>
      </c>
      <c r="J656" s="220" t="str">
        <f>IF(OR(D619=0,D620="　"),"",MID(F656,3,2))</f>
        <v>1</v>
      </c>
      <c r="K656" s="214">
        <f>IFERROR(D619*J656,"")</f>
        <v>10</v>
      </c>
    </row>
    <row r="657" spans="2:11" ht="12" customHeight="1">
      <c r="B657" s="206" t="str" cm="1">
        <f t="array" ref="B657">_xlfn.IFS(OR(D619=0,D620="　"),"",MID(D622,1,3)="アルミ","",MID(D622,1,3)&lt;&gt;"アルミ","テンドン補修用塗料")</f>
        <v>テンドン補修用塗料</v>
      </c>
      <c r="C657" s="210" t="str" cm="1">
        <f t="array" ref="C657">_xlfn.IFS(OR(D619=0,D620="　"),"",MID(D622,1,3)="アルミ","",MID(D622,1,3)&lt;&gt;"アルミ","エポキシ樹脂")</f>
        <v>エポキシ樹脂</v>
      </c>
      <c r="D657" s="208"/>
      <c r="E657" s="209"/>
      <c r="F657" s="217" t="str" cm="1">
        <f t="array" ref="F657">_xlfn.IFS(OR(D619=0,D620="　"),"",MID(D622,1,3)="アルミ","",MID(D622,1,3)&lt;&gt;"アルミ","W=PC鋼より線本数×"&amp;IF(MID(D620,4,1)="5","0.28","0.40"))</f>
        <v>W=PC鋼より線本数×0.28</v>
      </c>
      <c r="G657" s="218"/>
      <c r="H657" s="219"/>
      <c r="I657" s="213" t="str" cm="1">
        <f t="array" ref="I657">_xlfn.IFS(OR(D619=0,D620="　"),"",MID(D622,1,3)="アルミ","",MID(D622,1,3)&lt;&gt;"アルミ","g")</f>
        <v>g</v>
      </c>
      <c r="J657" s="224" cm="1">
        <f t="array" ref="J657">_xlfn.IFS(OR(D619=0,D620="　"),"",MID(D622,1,3)="アルミ","",MID(D622,1,3)&lt;&gt;"アルミ",MID(LEFT(D620, LEN(D620)-1),6,2)*IF(MID(D620,4,1)="5",0.28,0.4))</f>
        <v>1.1200000000000001</v>
      </c>
      <c r="K657" s="214">
        <f>IFERROR(D619*J657,"")</f>
        <v>11.200000000000001</v>
      </c>
    </row>
    <row r="658" spans="2:11" ht="12" customHeight="1">
      <c r="B658" s="206" t="str" cm="1">
        <f t="array" ref="B658">_xlfn.IFS(OR(D619=0,D620="　"),"",MID(D622,1,3)="アルミ","",MID(D622,1,3)&lt;&gt;"アルミ","長期防錆スプレー")</f>
        <v>長期防錆スプレー</v>
      </c>
      <c r="C658" s="210" t="str" cm="1">
        <f t="array" ref="C658">_xlfn.IFS(OR(D619=0,D620="　"),"",MID(D622,1,3)="アルミ","",MID(D622,1,3)&lt;&gt;"アルミ","防錆オイル")</f>
        <v>防錆オイル</v>
      </c>
      <c r="D658" s="208"/>
      <c r="E658" s="209"/>
      <c r="F658" s="217" t="str" cm="1">
        <f t="array" ref="F658">_xlfn.IFS(OR(D619=0,D620="　"),"",MID(D622,1,3)="アルミ","",MID(D622,1,3)&lt;&gt;"アルミ","n=0.01×(PC鋼より線本数+"&amp;IF(MID(D620,4,1)="5","6","12")&amp;")")</f>
        <v>n=0.01×(PC鋼より線本数+6)</v>
      </c>
      <c r="G658" s="218"/>
      <c r="H658" s="219"/>
      <c r="I658" s="213" t="str" cm="1">
        <f t="array" ref="I658">_xlfn.IFS(OR(D619=0,D620="　"),"",MID(D622,1,3)="アルミ","",MID(D622,1,3)&lt;&gt;"アルミ","缶")</f>
        <v>缶</v>
      </c>
      <c r="J658" s="224" cm="1">
        <f t="array" ref="J658">_xlfn.IFS(OR(D619=0,D620="　"),"",MID(D622,1,3)="アルミ","",MID(D622,1,3)&lt;&gt;"アルミ",0.01*(MID(LEFT(D620, LEN(D620)-1),6,2)+IF(MID(D620,4,1)="5",6,12)))</f>
        <v>0.1</v>
      </c>
      <c r="K658" s="214">
        <f>IFERROR(D619*J658,"")</f>
        <v>1</v>
      </c>
    </row>
    <row r="659" spans="2:11" ht="12" customHeight="1">
      <c r="B659" s="206" t="str">
        <f>IF(OR(D619=0,D620="　",D625="なし"),"","フリーパッカー注入ホース")</f>
        <v/>
      </c>
      <c r="C659" s="207" t="str">
        <f>IF(OR(D619=0,D620="　",B659=""),"","16/20、高密度ポリエチレン")</f>
        <v/>
      </c>
      <c r="D659" s="208"/>
      <c r="E659" s="209"/>
      <c r="F659" s="210" t="str">
        <f>IF(B659="","","L=自由長+緊張部長")</f>
        <v/>
      </c>
      <c r="G659" s="211"/>
      <c r="H659" s="212"/>
      <c r="I659" s="213" t="str">
        <f>IF(OR(D619=0,D620="　",B659=""),"","m")</f>
        <v/>
      </c>
      <c r="J659" s="214" t="str">
        <f>IF(OR(D619=0,D620="　"),"",IF(B659="","",MROUND(D629+D630,0.1)))</f>
        <v/>
      </c>
      <c r="K659" s="214" t="str">
        <f>IFERROR(D619*J659,"")</f>
        <v/>
      </c>
    </row>
    <row r="660" spans="2:11" ht="12" customHeight="1">
      <c r="B660" s="225" t="str">
        <f>IF(OR(D619=0,D620="　",D625="なし"),"","フリーパッカー")</f>
        <v/>
      </c>
      <c r="C660" s="217" t="str" cm="1">
        <f t="array" ref="C660">IF(OR(D619=0,D620="　",B659=""),"",_xlfn.SWITCH(D634,90,"PA-170",115,"PA-200",135,"PA-240",146,"PA-240",165,"PA-350")&amp;"、織布")</f>
        <v/>
      </c>
      <c r="D660" s="208"/>
      <c r="E660" s="209"/>
      <c r="F660" s="226" t="str">
        <f>IF(B660="","","L=自由長+0.5m")</f>
        <v/>
      </c>
      <c r="G660" s="227"/>
      <c r="H660" s="228"/>
      <c r="I660" s="213" t="str">
        <f>IF(OR(D620=0,D621="　",B660=""),"","m")</f>
        <v/>
      </c>
      <c r="J660" s="214" t="str">
        <f>IF(OR(D619=0,D620="　"),"",IF(B660="","",MROUND(D629+0.5,0.1)))</f>
        <v/>
      </c>
      <c r="K660" s="214" t="str">
        <f>IFERROR(D619*J660,"")</f>
        <v/>
      </c>
    </row>
    <row r="661" spans="2:11" ht="12" customHeight="1">
      <c r="B661" s="206" t="str">
        <f>IF(OR(D619=0,D620="　",D625="なし"),"","パッカー取付加工")</f>
        <v/>
      </c>
      <c r="C661" s="207"/>
      <c r="D661" s="208"/>
      <c r="E661" s="209"/>
      <c r="F661" s="217" t="str">
        <f>IF(B661="","","n=1")</f>
        <v/>
      </c>
      <c r="G661" s="218"/>
      <c r="H661" s="219"/>
      <c r="I661" s="213" t="str">
        <f>IF(OR(D621=0,D622="　",B661=""),"","式")</f>
        <v/>
      </c>
      <c r="J661" s="220" t="str">
        <f>IF(OR(D619=0,D620="　"),"",MID(F661,3,2))</f>
        <v/>
      </c>
      <c r="K661" s="206" t="str">
        <f>IFERROR(D619*J661,"")</f>
        <v/>
      </c>
    </row>
    <row r="662" spans="2:11" ht="12" customHeight="1">
      <c r="B662" s="229"/>
      <c r="C662" s="230"/>
      <c r="D662" s="231"/>
      <c r="E662" s="232"/>
      <c r="F662" s="233"/>
      <c r="G662" s="234"/>
      <c r="H662" s="235"/>
      <c r="I662" s="236"/>
      <c r="J662" s="237"/>
      <c r="K662" s="229"/>
    </row>
    <row r="663" spans="2:11" ht="12" customHeight="1">
      <c r="B663" s="238" t="s">
        <v>30</v>
      </c>
      <c r="C663" s="239" t="s">
        <v>31</v>
      </c>
      <c r="D663" s="240"/>
      <c r="E663" s="241"/>
      <c r="F663" s="242" t="s">
        <v>157</v>
      </c>
      <c r="G663" s="243"/>
      <c r="H663" s="244"/>
      <c r="I663" s="245" t="s">
        <v>55</v>
      </c>
      <c r="J663" s="246">
        <f>IFERROR(MROUND(0.25*PI()*(0.001*D634)^2*(D627+D628+D633)*(1+2.2),0.01),"")</f>
        <v>0.17</v>
      </c>
      <c r="K663" s="246">
        <f>IFERROR(D619*J663,"")</f>
        <v>1.7000000000000002</v>
      </c>
    </row>
    <row r="665" spans="2:11" ht="12" customHeight="1">
      <c r="B665" s="247" t="s">
        <v>136</v>
      </c>
      <c r="C665" s="247"/>
      <c r="D665" s="247"/>
      <c r="F665" s="163"/>
      <c r="G665" s="164"/>
      <c r="H665" s="164"/>
    </row>
    <row r="666" spans="2:11" ht="12" customHeight="1">
      <c r="B666" s="15" t="s">
        <v>111</v>
      </c>
      <c r="C666" s="15"/>
      <c r="D666" s="1"/>
      <c r="E666" s="1"/>
      <c r="H666" s="119"/>
      <c r="J666" s="118"/>
    </row>
    <row r="667" spans="2:11" ht="12" customHeight="1">
      <c r="B667" s="165" t="s">
        <v>166</v>
      </c>
      <c r="C667" s="3"/>
      <c r="D667" s="1"/>
      <c r="E667" s="1"/>
      <c r="F667" s="8"/>
      <c r="G667" s="8"/>
      <c r="H667" s="102"/>
      <c r="I667" s="28"/>
      <c r="J667" s="118"/>
    </row>
    <row r="668" spans="2:11" ht="12" customHeight="1">
      <c r="B668" s="15" t="s">
        <v>40</v>
      </c>
      <c r="C668" s="3"/>
      <c r="D668" s="1"/>
      <c r="E668" s="1"/>
      <c r="F668" s="15" t="s">
        <v>54</v>
      </c>
      <c r="G668" s="15"/>
      <c r="H668" s="102"/>
      <c r="I668" s="28"/>
    </row>
    <row r="669" spans="2:11" ht="12" customHeight="1">
      <c r="B669" s="2" t="s">
        <v>53</v>
      </c>
      <c r="C669" s="2" t="s">
        <v>21</v>
      </c>
      <c r="D669" s="2" t="s">
        <v>22</v>
      </c>
      <c r="E669" s="17"/>
      <c r="F669" s="49" t="s">
        <v>41</v>
      </c>
      <c r="G669" s="97" t="s">
        <v>59</v>
      </c>
      <c r="H669" s="49" t="s">
        <v>44</v>
      </c>
      <c r="I669" s="2" t="s">
        <v>21</v>
      </c>
      <c r="J669" s="49" t="s">
        <v>138</v>
      </c>
      <c r="K669" s="2" t="s">
        <v>28</v>
      </c>
    </row>
    <row r="670" spans="2:11" ht="12" customHeight="1">
      <c r="B670" s="166" t="s">
        <v>25</v>
      </c>
      <c r="C670" s="18" t="s">
        <v>24</v>
      </c>
      <c r="D670" s="167">
        <v>10</v>
      </c>
      <c r="E670" s="19"/>
      <c r="F670" s="168" t="s">
        <v>43</v>
      </c>
      <c r="G670" s="169" t="s">
        <v>113</v>
      </c>
      <c r="H670" s="88" t="str" cm="1">
        <f t="array" ref="H670">_xlfn.IFS(AND(F670&lt;&gt;"非削孔",F670&lt;&gt;"無設定"),D685,F670="非削孔",IF(MID(D674,1,3)="土留め","非削孔","箱抜き"),F670="無設定","無設定")</f>
        <v>箱抜き</v>
      </c>
      <c r="I670" s="23" t="str">
        <f>IF(F670="無設定","","m")</f>
        <v>m</v>
      </c>
      <c r="J670" s="170">
        <v>0.5</v>
      </c>
      <c r="K670" s="30">
        <f>D670*J670</f>
        <v>5</v>
      </c>
    </row>
    <row r="671" spans="2:11" ht="12" customHeight="1">
      <c r="B671" s="171" t="s">
        <v>37</v>
      </c>
      <c r="C671" s="50" t="s">
        <v>38</v>
      </c>
      <c r="D671" s="172" t="s">
        <v>159</v>
      </c>
      <c r="E671" s="173"/>
      <c r="F671" s="174" t="s">
        <v>49</v>
      </c>
      <c r="G671" s="169" t="s">
        <v>114</v>
      </c>
      <c r="H671" s="88" cm="1">
        <f t="array" ref="H671">_xlfn.IFS(AND(F671&lt;&gt;"非削孔",F671&lt;&gt;"無設定"),D685,F671="非削孔","箱抜き",F671="無設定","無設定")</f>
        <v>90</v>
      </c>
      <c r="I671" s="23" t="str">
        <f t="shared" ref="I671:I679" si="26">IF(F671="無設定","","m")</f>
        <v>m</v>
      </c>
      <c r="J671" s="170">
        <v>2.64</v>
      </c>
      <c r="K671" s="30">
        <f>D670*J671</f>
        <v>26.400000000000002</v>
      </c>
    </row>
    <row r="672" spans="2:11" ht="12" customHeight="1">
      <c r="B672" s="52" t="s">
        <v>39</v>
      </c>
      <c r="C672" s="91" t="s">
        <v>38</v>
      </c>
      <c r="D672" s="175" t="s">
        <v>60</v>
      </c>
      <c r="E672" s="140"/>
      <c r="F672" s="174" t="s">
        <v>49</v>
      </c>
      <c r="G672" s="169" t="s">
        <v>115</v>
      </c>
      <c r="H672" s="88" cm="1">
        <f t="array" ref="H672">_xlfn.IFS(AND(F672&lt;&gt;"非削孔",F672&lt;&gt;"無設定"),D685,F672="非削孔","箱抜き",F672="無設定","無設定")</f>
        <v>90</v>
      </c>
      <c r="I672" s="23" t="str">
        <f t="shared" si="26"/>
        <v>m</v>
      </c>
      <c r="J672" s="170">
        <v>5.36</v>
      </c>
      <c r="K672" s="30">
        <f>D670*J672</f>
        <v>53.6</v>
      </c>
    </row>
    <row r="673" spans="2:11" ht="12" customHeight="1">
      <c r="B673" s="147" t="s">
        <v>140</v>
      </c>
      <c r="C673" s="91" t="s">
        <v>38</v>
      </c>
      <c r="D673" s="176" t="s">
        <v>141</v>
      </c>
      <c r="E673" s="141"/>
      <c r="F673" s="174" t="s">
        <v>48</v>
      </c>
      <c r="G673" s="169"/>
      <c r="H673" s="88" t="str" cm="1">
        <f t="array" ref="H673">_xlfn.IFS(AND(F673&lt;&gt;"非削孔",F673&lt;&gt;"無設定"),D685,F673="非削孔","箱抜き",F673="無設定","無設定")</f>
        <v>無設定</v>
      </c>
      <c r="I673" s="23" t="str">
        <f t="shared" si="26"/>
        <v/>
      </c>
      <c r="J673" s="170">
        <v>0</v>
      </c>
      <c r="K673" s="30">
        <f>D670*J673</f>
        <v>0</v>
      </c>
    </row>
    <row r="674" spans="2:11" ht="12" customHeight="1">
      <c r="B674" s="147" t="s">
        <v>142</v>
      </c>
      <c r="C674" s="91" t="s">
        <v>38</v>
      </c>
      <c r="D674" s="177" t="s">
        <v>160</v>
      </c>
      <c r="E674" s="21"/>
      <c r="F674" s="174" t="s">
        <v>48</v>
      </c>
      <c r="G674" s="169"/>
      <c r="H674" s="88" t="str" cm="1">
        <f t="array" ref="H674">_xlfn.IFS(AND(F674&lt;&gt;"非削孔",F674&lt;&gt;"無設定"),D685,F674="非削孔","箱抜き",F674="無設定","無設定")</f>
        <v>無設定</v>
      </c>
      <c r="I674" s="23" t="str">
        <f t="shared" si="26"/>
        <v/>
      </c>
      <c r="J674" s="170">
        <v>0</v>
      </c>
      <c r="K674" s="30">
        <f>D670*J674</f>
        <v>0</v>
      </c>
    </row>
    <row r="675" spans="2:11" ht="12" customHeight="1">
      <c r="B675" s="114" t="str">
        <f>IF(MID(D674,1,3)="土留め",D674&amp;"の種類","")</f>
        <v/>
      </c>
      <c r="C675" s="91" t="s">
        <v>38</v>
      </c>
      <c r="D675" s="178" t="s">
        <v>71</v>
      </c>
      <c r="E675" s="21"/>
      <c r="F675" s="174" t="s">
        <v>48</v>
      </c>
      <c r="G675" s="169"/>
      <c r="H675" s="88" t="str" cm="1">
        <f t="array" ref="H675">_xlfn.IFS(AND(F675&lt;&gt;"非削孔",F675&lt;&gt;"無設定"),D685,F675="非削孔","箱抜き",F675="無設定","無設定")</f>
        <v>無設定</v>
      </c>
      <c r="I675" s="23" t="str">
        <f t="shared" si="26"/>
        <v/>
      </c>
      <c r="J675" s="170">
        <v>0</v>
      </c>
      <c r="K675" s="30">
        <f>D670*J675</f>
        <v>0</v>
      </c>
    </row>
    <row r="676" spans="2:11" ht="12" customHeight="1">
      <c r="B676" s="179" t="s">
        <v>50</v>
      </c>
      <c r="C676" s="180" t="s">
        <v>38</v>
      </c>
      <c r="D676" s="181" t="s">
        <v>51</v>
      </c>
      <c r="E676" s="182"/>
      <c r="F676" s="174" t="s">
        <v>48</v>
      </c>
      <c r="G676" s="169"/>
      <c r="H676" s="88" t="str" cm="1">
        <f t="array" ref="H676">_xlfn.IFS(AND(F676&lt;&gt;"非削孔",F676&lt;&gt;"無設定"),D685,F676="非削孔","箱抜き",F676="無設定","無設定")</f>
        <v>無設定</v>
      </c>
      <c r="I676" s="23" t="str">
        <f t="shared" si="26"/>
        <v/>
      </c>
      <c r="J676" s="170">
        <v>0</v>
      </c>
      <c r="K676" s="30">
        <f>D670*J676</f>
        <v>0</v>
      </c>
    </row>
    <row r="677" spans="2:11" ht="12" customHeight="1">
      <c r="B677" s="160" t="str" cm="1">
        <f t="array" ref="B677">"頭部自由長"&amp;_xlfn.IFS(MID(D674,1,2)="なし","",MID(D674,1,3)="受圧体","(受圧体)",MID(D674,1,3)="のり面","(角度台座＋受圧体)",MID(D674,1,3)="構造物","(壁面台座)",MID(D674,1,3)="土留め","(台座+腹起し)")&amp;"　Lfh"</f>
        <v>頭部自由長(角度台座＋受圧体)　Lfh</v>
      </c>
      <c r="C677" s="155" t="s">
        <v>23</v>
      </c>
      <c r="D677" s="183">
        <v>0.5</v>
      </c>
      <c r="E677" s="21"/>
      <c r="F677" s="174" t="s">
        <v>144</v>
      </c>
      <c r="G677" s="169"/>
      <c r="H677" s="88" cm="1">
        <f t="array" ref="H677">_xlfn.IFS(AND(F677&lt;&gt;"非削孔",F677&lt;&gt;"無設定"),D685,F677="非削孔","箱抜き",F677="無設定","無設定")</f>
        <v>90</v>
      </c>
      <c r="I677" s="23" t="str">
        <f t="shared" si="26"/>
        <v>m</v>
      </c>
      <c r="J677" s="170">
        <v>0</v>
      </c>
      <c r="K677" s="30">
        <f>D670*J677</f>
        <v>0</v>
      </c>
    </row>
    <row r="678" spans="2:11" ht="12" customHeight="1">
      <c r="B678" s="22" t="s">
        <v>108</v>
      </c>
      <c r="C678" s="23" t="s">
        <v>23</v>
      </c>
      <c r="D678" s="184">
        <v>4</v>
      </c>
      <c r="E678" s="21"/>
      <c r="F678" s="174" t="s">
        <v>48</v>
      </c>
      <c r="G678" s="169"/>
      <c r="H678" s="88" t="str" cm="1">
        <f t="array" ref="H678">_xlfn.IFS(AND(F678&lt;&gt;"非削孔",F678&lt;&gt;"無設定"),D685,F678="非削孔","箱抜き",F678="無設定","無設定")</f>
        <v>無設定</v>
      </c>
      <c r="I678" s="23" t="str">
        <f t="shared" si="26"/>
        <v/>
      </c>
      <c r="J678" s="170">
        <v>0</v>
      </c>
      <c r="K678" s="30">
        <f>D670*J678</f>
        <v>0</v>
      </c>
    </row>
    <row r="679" spans="2:11" ht="12" customHeight="1">
      <c r="B679" s="157" t="s">
        <v>36</v>
      </c>
      <c r="C679" s="158" t="s">
        <v>23</v>
      </c>
      <c r="D679" s="185">
        <v>4</v>
      </c>
      <c r="F679" s="186" t="str" cm="1">
        <f t="array" ref="F679">INDEX(F670:H678,MATCH("無設定",F670:F678,0)-1,MATCH(F669,F669:H669,0))</f>
        <v>軟　岩</v>
      </c>
      <c r="G679" s="100" t="str" cm="1">
        <f t="array" ref="G679">INDEX(F670:H678,MATCH("無設定",F670:F678,0)-1,MATCH(G669,F669:H669,0))&amp;"　(先端長 L2d)"</f>
        <v>風化岩 CL　(先端長 L2d)</v>
      </c>
      <c r="H679" s="88" cm="1">
        <f t="array" ref="H679">INDEX(F670:H678,MATCH("無設定",F670:F678,0)-1,MATCH(H669,F669:H669,0))</f>
        <v>90</v>
      </c>
      <c r="I679" s="23" t="str">
        <f t="shared" si="26"/>
        <v>m</v>
      </c>
      <c r="J679" s="98">
        <f>D684</f>
        <v>0.25</v>
      </c>
      <c r="K679" s="78">
        <f>IFERROR(D670*J679,"")</f>
        <v>2.5</v>
      </c>
    </row>
    <row r="680" spans="2:11" ht="12" customHeight="1">
      <c r="B680" s="154" t="s">
        <v>145</v>
      </c>
      <c r="C680" s="155" t="s">
        <v>23</v>
      </c>
      <c r="D680" s="187">
        <f>IF(OR(D670=0,D671="　"),"──",SUM(D677:D678))</f>
        <v>4.5</v>
      </c>
      <c r="E680" s="19"/>
      <c r="F680" s="188"/>
      <c r="G680" s="75" t="s">
        <v>124</v>
      </c>
      <c r="H680" s="103"/>
      <c r="I680" s="18" t="s">
        <v>23</v>
      </c>
      <c r="J680" s="74">
        <f>SUMIFS(J670:J679,F670:F679,"&lt;&gt;非削孔",F670:F679,"&lt;&gt;無設定")</f>
        <v>8.25</v>
      </c>
      <c r="K680" s="95">
        <f>SUMIFS(K670:K679,F670:F679,"&lt;&gt;非削孔",F670:F679,"&lt;&gt;無設定")</f>
        <v>82.5</v>
      </c>
    </row>
    <row r="681" spans="2:11" ht="12" customHeight="1">
      <c r="B681" s="146" t="s">
        <v>146</v>
      </c>
      <c r="C681" s="23" t="s">
        <v>23</v>
      </c>
      <c r="D681" s="189" cm="1">
        <f t="array" ref="D681">IF(OR(D670=0,D671="　"),"──",IF(MID(D671,4,1)="5",_xlfn.IFS(1*MID(LEFT(D671, LEN(D671)-1),6,2)&lt;8,1,1*MID(LEFT(D671, LEN(D671)-1),6,2)&lt;13,1.2),_xlfn.IFS(1*MID(LEFT(D671, LEN(D671)-1),6,2)&lt;6,1,1*MID(LEFT(D671, LEN(D671)-1),6,2)&lt;15,1.2)))</f>
        <v>1</v>
      </c>
      <c r="E681" s="19"/>
      <c r="F681" s="190"/>
      <c r="G681" s="76" t="s">
        <v>47</v>
      </c>
      <c r="H681" s="104"/>
      <c r="I681" s="79" t="s">
        <v>46</v>
      </c>
      <c r="J681" s="77" t="str">
        <f>IF(OR(D670=0,D671="　"),"",IF(SUM(D678:D679,D684)=J680,"OK","NG"))</f>
        <v>OK</v>
      </c>
      <c r="K681" s="145" t="str">
        <f>IF(J681&lt;&gt;"NG","──",J680-SUM(D678:D679,D684))</f>
        <v>──</v>
      </c>
    </row>
    <row r="682" spans="2:11" ht="12" customHeight="1">
      <c r="B682" s="22" t="s">
        <v>125</v>
      </c>
      <c r="C682" s="23" t="s">
        <v>35</v>
      </c>
      <c r="D682" s="84">
        <f>IF(OR(D670=0,D671="　"),"──",0.2)</f>
        <v>0.2</v>
      </c>
      <c r="F682" s="191" t="s">
        <v>58</v>
      </c>
      <c r="G682" s="248" t="s">
        <v>110</v>
      </c>
      <c r="H682" s="249"/>
      <c r="I682" s="249"/>
      <c r="J682" s="249"/>
      <c r="K682" s="250"/>
    </row>
    <row r="683" spans="2:11" ht="12" customHeight="1">
      <c r="B683" s="6" t="s">
        <v>147</v>
      </c>
      <c r="C683" s="23" t="s">
        <v>23</v>
      </c>
      <c r="D683" s="60">
        <f>IF(OR(D670=0,D671="　"),"──",SUM(D679:D682))</f>
        <v>9.6999999999999993</v>
      </c>
    </row>
    <row r="684" spans="2:11" ht="12" customHeight="1">
      <c r="B684" s="25" t="s">
        <v>127</v>
      </c>
      <c r="C684" s="26" t="s">
        <v>23</v>
      </c>
      <c r="D684" s="27">
        <f>IF(OR(D670=0,D671="　"),"──",0.25)</f>
        <v>0.25</v>
      </c>
      <c r="F684" s="8"/>
      <c r="G684" s="8"/>
      <c r="H684" s="102"/>
    </row>
    <row r="685" spans="2:11" ht="12" customHeight="1">
      <c r="B685" s="95" t="s">
        <v>123</v>
      </c>
      <c r="C685" s="18" t="s">
        <v>32</v>
      </c>
      <c r="D685" s="192">
        <v>90</v>
      </c>
      <c r="E685" s="193" t="str">
        <f>IF(D685&lt;D686,"NG：削孔径不適合","")</f>
        <v/>
      </c>
      <c r="F685" s="8"/>
      <c r="G685" s="8"/>
      <c r="H685" s="102"/>
    </row>
    <row r="686" spans="2:11" ht="12" customHeight="1">
      <c r="B686" s="25" t="s">
        <v>122</v>
      </c>
      <c r="C686" s="26" t="s">
        <v>32</v>
      </c>
      <c r="D686" s="194" cm="1">
        <f t="array" ref="D686">IF(OR(D670=0,D671="　"),"──",IF(D676="なし",IF(MID(D671,4,1)="5",_xlfn.IFS(1*MID(LEFT(D671, LEN(D671)-1),6,2)&lt;6,90,1*MID(LEFT(D671, LEN(D671)-1),6,2)&lt;9,115,1*MID(LEFT(D671, LEN(D671)-1),6,2)&gt;8,135),_xlfn.IFS(1*MID(LEFT(D671, LEN(D671)-1),6,2)&lt;4,90,1*MID(LEFT(D671, LEN(D671)-1),6,2)&lt;7,115,1*MID(LEFT(D671, LEN(D671)-1),6,2)&lt;10,135,1*MID(LEFT(D671, LEN(D671)-1),6,2)&lt;13,146,1*MID(LEFT(D671, LEN(D671)-1),6,2)&gt;12,165)),IF(MID(D671,4,1)="5",_xlfn.IFS(1*MID(LEFT(D671, LEN(D671)-1),6,2)&lt;3,90,1*MID(LEFT(D671, LEN(D671)-1),6,2)&lt;7,115,1*MID(LEFT(D671, LEN(D671)-1),6,2)&lt;9,135,1*MID(LEFT(D671, LEN(D671)-1),6,2)&gt;8,146),_xlfn.IFS(1*MID(LEFT(D671, LEN(D671)-1),6,2)&lt;3,90,1*MID(LEFT(D671, LEN(D671)-1),6,2)&lt;4,115,1*MID(LEFT(D671, LEN(D671)-1),6,2)&lt;6,135,1*MID(LEFT(D671, LEN(D671)-1),6,2)&lt;10,146,1*MID(LEFT(D671, LEN(D671)-1),6,2)&lt;13,165,1*MID(LEFT(D671, LEN(D671)-1),6,2)&gt;12,216))))</f>
        <v>90</v>
      </c>
      <c r="E686" s="195"/>
      <c r="F686" s="8"/>
      <c r="G686" s="8"/>
      <c r="H686" s="102"/>
    </row>
    <row r="687" spans="2:11" ht="12" customHeight="1">
      <c r="B687" s="20"/>
      <c r="C687" s="46"/>
      <c r="D687" s="117"/>
      <c r="F687" s="8"/>
      <c r="G687" s="8"/>
      <c r="H687" s="102"/>
    </row>
    <row r="688" spans="2:11" ht="12" customHeight="1">
      <c r="B688" s="15" t="str">
        <f>"■"&amp;MID(B665,2,14)</f>
        <v>■本設：EHDアンカーHP工法</v>
      </c>
      <c r="C688" s="3"/>
      <c r="D688" s="1"/>
      <c r="E688" s="1"/>
      <c r="F688" s="8"/>
      <c r="G688" s="8"/>
      <c r="H688" s="102"/>
    </row>
    <row r="689" spans="2:11" ht="12" customHeight="1">
      <c r="B689" s="2" t="s">
        <v>17</v>
      </c>
      <c r="C689" s="43"/>
      <c r="D689" s="196" t="s">
        <v>148</v>
      </c>
      <c r="E689" s="135"/>
      <c r="F689" s="16"/>
      <c r="G689" s="61" t="s">
        <v>42</v>
      </c>
      <c r="H689" s="97"/>
      <c r="I689" s="2" t="s">
        <v>21</v>
      </c>
      <c r="J689" s="49" t="s">
        <v>149</v>
      </c>
      <c r="K689" s="2" t="s">
        <v>28</v>
      </c>
    </row>
    <row r="690" spans="2:11" ht="12" customHeight="1">
      <c r="B690" s="197" t="s">
        <v>150</v>
      </c>
      <c r="C690" s="198" t="str">
        <f>IF(OR(D670=0,D671="　"),"",D671&amp;" ("&amp;MID(LEFT(D671, LEN(D671)-1),6,2)&amp;IF(MID(D671,4,1)="5","φ12.7","φ15.2")&amp;")")</f>
        <v>EHD5-4H (4φ12.7)</v>
      </c>
      <c r="D690" s="199"/>
      <c r="E690" s="200"/>
      <c r="F690" s="201" t="str">
        <f>"W=テンドン長×PC鋼より線本数×"&amp;IF(MID(D671,4,1)="5","0.774","1.101")&amp;"kg/m"</f>
        <v>W=テンドン長×PC鋼より線本数×0.774kg/m</v>
      </c>
      <c r="G690" s="202"/>
      <c r="H690" s="203"/>
      <c r="I690" s="204" t="s">
        <v>11</v>
      </c>
      <c r="J690" s="205">
        <f>IF(OR(D670=0,D671="　"),"",MROUND(D683*MID(LEFT(D671, LEN(D671)-1),6,2)*IF(MID(D671,4,1)="5","0.774","1.101"),0.01))</f>
        <v>30.03</v>
      </c>
      <c r="K690" s="205">
        <f>IFERROR(D670*J690,"")</f>
        <v>300.3</v>
      </c>
    </row>
    <row r="691" spans="2:11" ht="12" customHeight="1">
      <c r="B691" s="206" t="s">
        <v>151</v>
      </c>
      <c r="C691" s="207"/>
      <c r="D691" s="208"/>
      <c r="E691" s="209"/>
      <c r="F691" s="210" t="s">
        <v>33</v>
      </c>
      <c r="G691" s="211"/>
      <c r="H691" s="212"/>
      <c r="I691" s="213" t="s">
        <v>12</v>
      </c>
      <c r="J691" s="214">
        <f>IF(OR(D670=0,D671="　"),"",MROUND(D683,0.1))</f>
        <v>9.7000000000000011</v>
      </c>
      <c r="K691" s="214">
        <f>IFERROR(D670*J691,"")</f>
        <v>97.000000000000014</v>
      </c>
    </row>
    <row r="692" spans="2:11" ht="12" customHeight="1">
      <c r="B692" s="206" t="str">
        <f>"頭部キャップ"</f>
        <v>頭部キャップ</v>
      </c>
      <c r="C692" s="207" t="str" cm="1">
        <f t="array" ref="C692">IF(OR(D670=0,D671="　"),"",IF(MID(D671,4,1)="5",_xlfn.SWITCH(1*MID(LEFT(D671, LEN(D671)-1),6,2),1,"S",2,"S",3,"S",4,"S",5,"M",6,"M",7,"M",8,"L",9,"L",10,"L",11,"L",12,"L"),_xlfn.SWITCH(1*MID(LEFT(D671, LEN(D671)-1),6,2),1,"S",2,"S",3,"M",4,"M",5,"L",6,"L",7,"L",8,"LL",9,"LL",10,"LL",11,"LL",12,"LL",13,"LL",14,"LL"))&amp;"型"&amp;D673&amp;IF(OR(MID(D673,1,2)="透明",MID(D673,1,2)="5窓"),"、PC樹脂","")&amp;"、ｱﾙﾐAC4C相当"&amp;_xlfn.IFS(MID(D672,1,3)="防食Ⅱ","",MID(D672,5,2)="塩害","、防食：ﾀｹｺｰﾄ処理",MID(D672,5,2)="酸性","、防食：重防食処理"))</f>
        <v>S型透明キャップ、PC樹脂、ｱﾙﾐAC4C相当</v>
      </c>
      <c r="D692" s="215"/>
      <c r="E692" s="216"/>
      <c r="F692" s="217" t="str">
        <f t="shared" ref="F692:F698" si="27">"n=1"</f>
        <v>n=1</v>
      </c>
      <c r="G692" s="218"/>
      <c r="H692" s="219"/>
      <c r="I692" s="213" t="s">
        <v>13</v>
      </c>
      <c r="J692" s="220" t="str">
        <f>IF(OR(D670=0,D671="　"),"",MID(F692,3,2))</f>
        <v>1</v>
      </c>
      <c r="K692" s="214">
        <f>IFERROR(D670*J692,"")</f>
        <v>10</v>
      </c>
    </row>
    <row r="693" spans="2:11" ht="12" customHeight="1">
      <c r="B693" s="206" t="s">
        <v>5</v>
      </c>
      <c r="C693" s="207" t="str" cm="1">
        <f t="array" ref="C693">IF(OR(D670=0,D671="　"),"",IF(MID(D671,4,1)="5","G5"&amp;_xlfn.SWITCH(1*MID(LEFT(D671, LEN(D671)-1),6,2),1,"01",2,"02",3,"03",4,"04",5,"07",6,"07",7,"07",8,"09",9,"09",10,"12",11,"12",12,"12"),"G6"&amp;_xlfn.SWITCH(1*MID(LEFT(D671, LEN(D671)-1),6,2),1,"01",2,"02",3,"03",4,"04",5,"07",6,"07",7,"07",8,"09",9,"09",10,"12",11,"12",12,"12",13,"14",14,"14"))&amp;"、S45C相当"&amp;IF(MID(D673,1,3)&lt;&gt;"アルミ","、防食：無電解Niめっき",""))</f>
        <v>G504、S45C相当、防食：無電解Niめっき</v>
      </c>
      <c r="D693" s="208"/>
      <c r="E693" s="209"/>
      <c r="F693" s="217" t="str">
        <f t="shared" si="27"/>
        <v>n=1</v>
      </c>
      <c r="G693" s="218"/>
      <c r="H693" s="219"/>
      <c r="I693" s="213" t="s">
        <v>13</v>
      </c>
      <c r="J693" s="220" t="str">
        <f>IF(OR(D670=0,D671="　"),"",MID(F693,3,2))</f>
        <v>1</v>
      </c>
      <c r="K693" s="214">
        <f>IFERROR(D670*J693,"")</f>
        <v>10</v>
      </c>
    </row>
    <row r="694" spans="2:11" ht="12" customHeight="1">
      <c r="B694" s="206" t="s">
        <v>152</v>
      </c>
      <c r="C694" s="207" t="str" cm="1">
        <f t="array" ref="C694">IF(OR(D670=0,D671="　"),"",IF(MID(D671,4,1)="5","G5"&amp;_xlfn.SWITCH(1*MID(LEFT(D671, LEN(D671)-1),6,2),1,"01",2,"02",3,"03",4,"04",5,"07",6,"07",7,"07",8,"09",9,"09",10,"12",11,"12",12,"12"),"G6"&amp;_xlfn.SWITCH(1*MID(LEFT(D671, LEN(D671)-1),6,2),1,"01",2,"02",3,"03",4,"04",5,"07",6,"07",7,"07",8,"09",9,"09",10,"12",11,"12",12,"12",13,"14",14,"14"))&amp;"、S45C相当"&amp;IF(MID(D673,1,3)&lt;&gt;"アルミ","、防食：無電解Niめっき",""))</f>
        <v>G504、S45C相当、防食：無電解Niめっき</v>
      </c>
      <c r="D694" s="208"/>
      <c r="E694" s="209"/>
      <c r="F694" s="217" t="str">
        <f t="shared" si="27"/>
        <v>n=1</v>
      </c>
      <c r="G694" s="218"/>
      <c r="H694" s="219"/>
      <c r="I694" s="213" t="s">
        <v>13</v>
      </c>
      <c r="J694" s="220" t="str">
        <f>IF(OR(D670=0,D671="　"),"",MID(F694,3,2))</f>
        <v>1</v>
      </c>
      <c r="K694" s="214">
        <f>IFERROR(D670*J694,"")</f>
        <v>10</v>
      </c>
    </row>
    <row r="695" spans="2:11" ht="12" customHeight="1">
      <c r="B695" s="206" t="s">
        <v>7</v>
      </c>
      <c r="C695" s="207" t="str">
        <f>IF(OR(D670=0,D671="　"),"",IF(1*MID(D671,4,1)=5,"ECF12.7","ECF15.2")&amp;"、SCM415相当"&amp;IF(MID(D673,1,3)&lt;&gt;"アルミ","、防食：無電解Niめっき",""))</f>
        <v>ECF12.7、SCM415相当、防食：無電解Niめっき</v>
      </c>
      <c r="D695" s="208"/>
      <c r="E695" s="209"/>
      <c r="F695" s="217" t="str">
        <f t="shared" si="27"/>
        <v>n=1</v>
      </c>
      <c r="G695" s="218"/>
      <c r="H695" s="219"/>
      <c r="I695" s="213" t="s">
        <v>27</v>
      </c>
      <c r="J695" s="220" t="str">
        <f>IF(OR(D670=0,D671="　"),"",MID(F695,3,2))</f>
        <v>1</v>
      </c>
      <c r="K695" s="214">
        <f>IFERROR(D670*J695,"")</f>
        <v>10</v>
      </c>
    </row>
    <row r="696" spans="2:11" ht="12" customHeight="1">
      <c r="B696" s="206" t="s">
        <v>153</v>
      </c>
      <c r="C696" s="207" t="str" cm="1">
        <f t="array" ref="C696">IF(OR(D670=0,D671="　"),"",IF(MID(D671,4,1)="5","G5"&amp;_xlfn.SWITCH(1*MID(LEFT(D671, LEN(D671)-1),6,2),1,"01",2,"04",3,"03",4,"04",5,"07",6,"07",7,"07",8,"12",9,"12",10,"12",11,"12",12,"12"),"G6"&amp;_xlfn.SWITCH(1*MID(LEFT(D671, LEN(D671)-1),6,2),1,"01",2,"02",3,"03",4,"04",5,"07",6,"07",7,"07",8,"12",9,"12",10,"12",11,"12",12,"12",13,"14",14,"14"))&amp;"、SS400相当、防食："&amp;_xlfn.IFS(MID(D672,1,3)="防食Ⅱ","HDZT77めっき",MID(D672,5,2)="塩害","ｱﾙﾐﾅｲｽﾞ処理",MID(D672,5,2)="酸性","重防食処理"))</f>
        <v>G504、SS400相当、防食：HDZT77めっき</v>
      </c>
      <c r="D696" s="208"/>
      <c r="E696" s="209"/>
      <c r="F696" s="217" t="str">
        <f t="shared" si="27"/>
        <v>n=1</v>
      </c>
      <c r="G696" s="218"/>
      <c r="H696" s="219"/>
      <c r="I696" s="213" t="s">
        <v>16</v>
      </c>
      <c r="J696" s="220" t="str">
        <f>IF(OR(D670=0,D671="　"),"",MID(F696,3,2))</f>
        <v>1</v>
      </c>
      <c r="K696" s="214">
        <f>IFERROR(D670*J696,"")</f>
        <v>10</v>
      </c>
    </row>
    <row r="697" spans="2:11" ht="12" customHeight="1">
      <c r="B697" s="206" t="str">
        <f>IF(MID(D674,1,3)="のり面","管付","")&amp;"支圧板"</f>
        <v>管付支圧板</v>
      </c>
      <c r="C697" s="221" t="str" cm="1">
        <f t="array" ref="C697">IF(OR(D670=0,D671="　"),"","PL"&amp;IF(MID(D674,1,3)="のり面","P","")&amp;IF(MID(D671,4,1)="5","5-"&amp;_xlfn.SWITCH(1*MID(LEFT(D671, LEN(D671)-1),6,2),1,"1",2,"2",3,"3",4,"4",5,"5",6,"6",7,"7",8,"9",9,"9",10,"10",11,"11",12,"12"),"6-"&amp;_xlfn.SWITCH(1*MID(LEFT(D671, LEN(D671)-1),6,2),1,"1",2,"2",3,"3",4,"4",5,"6",6,"6",7,"7",8,"8",9,"9",10,"10",11,"11",12,"12",13,"14",14,"14"))&amp;"、SS400相当、防食："&amp;_xlfn.IFS(MID(D672,1,3)="防食Ⅱ","HDZT77めっき",MID(D672,5,2)="塩害","ｱﾙﾐﾅｲｽﾞ処理",MID(D672,5,2)="酸性","重防食処理"))</f>
        <v>PLP5-4、SS400相当、防食：HDZT77めっき</v>
      </c>
      <c r="D697" s="208"/>
      <c r="E697" s="209"/>
      <c r="F697" s="217" t="str">
        <f t="shared" si="27"/>
        <v>n=1</v>
      </c>
      <c r="G697" s="218"/>
      <c r="H697" s="219"/>
      <c r="I697" s="213" t="s">
        <v>16</v>
      </c>
      <c r="J697" s="220" t="str">
        <f>IF(OR(D670=0,D671="　"),"",MID(F697,3,2))</f>
        <v>1</v>
      </c>
      <c r="K697" s="214">
        <f>IFERROR(D670*J697,"")</f>
        <v>10</v>
      </c>
    </row>
    <row r="698" spans="2:11" ht="12" customHeight="1">
      <c r="B698" s="206" t="s">
        <v>154</v>
      </c>
      <c r="C698" s="207" t="str">
        <f>IF(OR(D670=0,D671="　"),"","G"&amp;MID(LEFT(D671, LEN(D671)-1),4,4)&amp;"、NBR45相当")</f>
        <v>G5-4、NBR45相当</v>
      </c>
      <c r="D698" s="208"/>
      <c r="E698" s="209"/>
      <c r="F698" s="217" t="str">
        <f t="shared" si="27"/>
        <v>n=1</v>
      </c>
      <c r="G698" s="218"/>
      <c r="H698" s="219"/>
      <c r="I698" s="213" t="s">
        <v>13</v>
      </c>
      <c r="J698" s="220" t="str">
        <f>IF(OR(D670=0,D671="　"),"",MID(F698,3,2))</f>
        <v>1</v>
      </c>
      <c r="K698" s="214">
        <f>IFERROR(D670*J698,"")</f>
        <v>10</v>
      </c>
    </row>
    <row r="699" spans="2:11" ht="12" customHeight="1">
      <c r="B699" s="206" t="str" cm="1">
        <f t="array" ref="B699">_xlfn.IFS(OR(D670=0,D671="　"),"",MID(D673,1,3)="アルミ","頭部防錆油",MID(D673,1,3)&lt;&gt;"アルミ","余長キャップ")</f>
        <v>余長キャップ</v>
      </c>
      <c r="C699" s="221" t="str" cm="1">
        <f t="array" ref="C699">_xlfn.IFS(OR(D670=0,D671="　"),"",MID(D673,1,3)="アルミ","PCコートC",MID(D673,1,3)&lt;&gt;"アルミ","TC"&amp;MID(D671,4,1)&amp;"、高密度ポチエチレン")</f>
        <v>TC5、高密度ポチエチレン</v>
      </c>
      <c r="D699" s="208"/>
      <c r="E699" s="209"/>
      <c r="F699" s="217" t="str" cm="1">
        <f t="array" ref="F699">_xlfn.IFS(OR(D670=0,D671="　"),"",MID(D673,1,3)="アルミ","W="&amp;IF(MID(D671,4,1)="5",_xlfn.SWITCH(1*MID(LEFT(D671, LEN(D671)-1),6,2),1,1.9,2,1.3,3,1.3,4,1.3,5,1.6,6,1.6,7,1.6,8,3.1,9,3.1,10,3.1,11,3.1,12,3.1),"G6"&amp;_xlfn.SWITCH(1*MID(LEFT(D671, LEN(D671)-1),6,2),1,1.8,2,1.3,3,1.8,4,1.8,5,3.3,6,3.3,7,3.3,8,9.9,9,9.9,10,9.9,11,9.9,12,9.9,13,9.9,14,9.9)),MID(D673,1,3)&lt;&gt;"アルミ","n=1")</f>
        <v>n=1</v>
      </c>
      <c r="G699" s="218"/>
      <c r="H699" s="219"/>
      <c r="I699" s="213" t="str" cm="1">
        <f t="array" ref="I699">_xlfn.IFS(OR(D670=0,D671="　"),"",MID(D673,1,3)="アルミ","kg",MID(D673,1,3)&lt;&gt;"アルミ","式")</f>
        <v>式</v>
      </c>
      <c r="J699" s="220" t="str">
        <f>IF(OR(D670=0,D671="　"),"",MID(F699,3,4))</f>
        <v>1</v>
      </c>
      <c r="K699" s="214">
        <f>IFERROR(D670*J699,"")</f>
        <v>10</v>
      </c>
    </row>
    <row r="700" spans="2:11" ht="12" customHeight="1">
      <c r="B700" s="206" t="s">
        <v>9</v>
      </c>
      <c r="C700" s="207" t="str" cm="1">
        <f t="array" ref="C700">IF(OR(D670=0,D671="　"),"",IF(MID(D671,4,1)="5","PS5-"&amp;_xlfn.SWITCH(1*MID(LEFT(D671, LEN(D671)-1),6,2),1,"7",2,"2",3,"3",4,"4",5,"7",6,"7",7,"7",8,"12",9,"12",10,"12",11,"12",12,"12"),"PS6-"&amp;_xlfn.SWITCH(1*MID(LEFT(D671, LEN(D671)-1),6,2),1,"7",2,"2",3,"3",4,"4",5,"7",6,"7",7,"7",8,"12",9,"12",10,"12",11,"12",12,"12",13,"14",14,"14"))&amp;"、高密度ポリエチレン")</f>
        <v>PS5-4、高密度ポリエチレン</v>
      </c>
      <c r="D700" s="208"/>
      <c r="E700" s="209"/>
      <c r="F700" s="217" t="str">
        <f>"n=2"</f>
        <v>n=2</v>
      </c>
      <c r="G700" s="218"/>
      <c r="H700" s="219"/>
      <c r="I700" s="213" t="s">
        <v>13</v>
      </c>
      <c r="J700" s="220" t="str">
        <f>IF(OR(D670=0,D671="　"),"",MID(F700,3,2))</f>
        <v>2</v>
      </c>
      <c r="K700" s="214">
        <f>IFERROR(D670*J700,"")</f>
        <v>20</v>
      </c>
    </row>
    <row r="701" spans="2:11" ht="12" customHeight="1">
      <c r="B701" s="206" t="s">
        <v>2</v>
      </c>
      <c r="C701" s="207" t="str" cm="1">
        <f t="array" ref="C701">IF(OR(D670=0,D671="　"),"",IF(MID(D671,4,1)="5","S5-"&amp;_xlfn.IFS(1*MID(LEFT(D671, LEN(D671)-1),6,2)&lt;6,"5",1*MID(LEFT(D671, LEN(D671)-1),6,2)&lt;9,"8",1*MID(LEFT(D671, LEN(D671)-1),6,2)&gt;8,"12"),"S6-"&amp;_xlfn.IFS(1*MID(LEFT(D671, LEN(D671)-1),6,2)&lt;4,"3",1*MID(LEFT(D671, LEN(D671)-1),6,2)&lt;7,"6",1*MID(LEFT(D671, LEN(D671)-1),6,2)&lt;10,"9",1*MID(LEFT(D671, LEN(D671)-1),6,2)&lt;13,"12",1*MID(LEFT(D671, LEN(D671)-1),6,2)&gt;12,"14"))&amp;"、ポリプロピレン")</f>
        <v>S5-5、ポリプロピレン</v>
      </c>
      <c r="D701" s="208"/>
      <c r="E701" s="209"/>
      <c r="F701" s="222" t="s">
        <v>155</v>
      </c>
      <c r="G701" s="211"/>
      <c r="H701" s="212"/>
      <c r="I701" s="213" t="s">
        <v>13</v>
      </c>
      <c r="J701" s="206">
        <f>IF(OR(D670=0,D671="　"),"",MROUND((D679-0.4)/1,1))</f>
        <v>4</v>
      </c>
      <c r="K701" s="214">
        <f>IFERROR(D670*J701,"")</f>
        <v>40</v>
      </c>
    </row>
    <row r="702" spans="2:11" ht="12" customHeight="1">
      <c r="B702" s="206" t="s">
        <v>1</v>
      </c>
      <c r="C702" s="207" t="str" cm="1">
        <f t="array" ref="C702">IF(OR(D670=0,D671="　"),"",IF(MID(D671,4,1)="5","PC5-"&amp;_xlfn.IFS(1*MID(LEFT(D671, LEN(D671)-1),6,2)&lt;5,"4",1*MID(LEFT(D671, LEN(D671)-1),6,2)&lt;8,"7",1*MID(LEFT(D671, LEN(D671)-1),6,2)&lt;10,"9",1*MID(LEFT(D671, LEN(D671)-1),6,2)&gt;9,"12"),"PC6-"&amp;_xlfn.IFS(1*MID(LEFT(D671, LEN(D671)-1),6,2)&lt;4,"3",1*MID(LEFT(D671, LEN(D671)-1),6,2)&lt;8,"7",1*MID(LEFT(D671, LEN(D671)-1),6,2)&lt;13,"12",1*MID(LEFT(D671, LEN(D671)-1),6,2)&gt;12,"14"))&amp;"、ポリプロピレン")</f>
        <v>PC5-4、ポリプロピレン</v>
      </c>
      <c r="D702" s="208"/>
      <c r="E702" s="209"/>
      <c r="F702" s="217" t="str">
        <f>"n=1"</f>
        <v>n=1</v>
      </c>
      <c r="G702" s="218"/>
      <c r="H702" s="219"/>
      <c r="I702" s="213" t="s">
        <v>13</v>
      </c>
      <c r="J702" s="220" t="str">
        <f>IF(OR(D670=0,D671="　"),"",MID(F702,3,2))</f>
        <v>1</v>
      </c>
      <c r="K702" s="214">
        <f>IFERROR(D670*J702,"")</f>
        <v>10</v>
      </c>
    </row>
    <row r="703" spans="2:11" ht="12" customHeight="1">
      <c r="B703" s="206" t="s">
        <v>3</v>
      </c>
      <c r="C703" s="207" t="str">
        <f>IF(OR(D670=0,D671="　"),"","66ナイロン")</f>
        <v>66ナイロン</v>
      </c>
      <c r="D703" s="208"/>
      <c r="E703" s="209"/>
      <c r="F703" s="222" t="s">
        <v>156</v>
      </c>
      <c r="G703" s="211"/>
      <c r="H703" s="212"/>
      <c r="I703" s="213" t="s">
        <v>14</v>
      </c>
      <c r="J703" s="206">
        <f>IF(OR(D670=0,D671="　"),"",2*J701)</f>
        <v>8</v>
      </c>
      <c r="K703" s="214">
        <f>IFERROR(D670*J703,"")</f>
        <v>80</v>
      </c>
    </row>
    <row r="704" spans="2:11" ht="12" customHeight="1">
      <c r="B704" s="206" t="s">
        <v>4</v>
      </c>
      <c r="C704" s="207" t="str">
        <f>IF(OR(D670=0,D671="　"),"","フィラメントテープ")</f>
        <v>フィラメントテープ</v>
      </c>
      <c r="D704" s="208"/>
      <c r="E704" s="209"/>
      <c r="F704" s="222" t="str">
        <f>IF(OR(D670=0,D671="　"),"","L=((自由長+緊張部長)÷@1.0m)×テープ係数"&amp;IF(MID(D671,4,1)="5",_xlfn.IFS(1*MID(LEFT(D671, LEN(D671)-1),6,2)&lt;4,"0.8",1*MID(LEFT(D671, LEN(D671)-1),6,2)&lt;7,"1.0",1*MID(LEFT(D671, LEN(D671)-1),6,2)&lt;10,"1.2",1*MID(LEFT(D671, LEN(D671)-1),6,2)&lt;13,"1.4"),_xlfn.IFS(1*MID(LEFT(D671, LEN(D671)-1),6,2)&lt;4,"1.0",1*MID(LEFT(D671, LEN(D671)-1),6,2)&lt;7,"1.2",1*MID(LEFT(D671, LEN(D671)-1),6,2)&lt;10,"1.4",1*MID(LEFT(D671, LEN(D671)-1),6,2)&lt;15,"1.8")))</f>
        <v>L=((自由長+緊張部長)÷@1.0m)×テープ係数1.0</v>
      </c>
      <c r="G704" s="211"/>
      <c r="H704" s="212"/>
      <c r="I704" s="213" t="s">
        <v>12</v>
      </c>
      <c r="J704" s="223">
        <f>IF(OR(D670=0,D671="　"),"",MROUND((SUM(D680,D681))/1*RIGHT(F704, 3),0.1))</f>
        <v>5.5</v>
      </c>
      <c r="K704" s="214">
        <f>IFERROR(D670*J704,"")</f>
        <v>55</v>
      </c>
    </row>
    <row r="705" spans="2:11" ht="12" customHeight="1">
      <c r="B705" s="206" t="s">
        <v>0</v>
      </c>
      <c r="C705" s="207" t="str">
        <f>IF(OR(D670=0,D671="　"),"","16/20、高密度ポリエチレン")</f>
        <v>16/20、高密度ポリエチレン</v>
      </c>
      <c r="D705" s="208"/>
      <c r="E705" s="209"/>
      <c r="F705" s="210" t="s">
        <v>33</v>
      </c>
      <c r="G705" s="211"/>
      <c r="H705" s="212"/>
      <c r="I705" s="213" t="s">
        <v>12</v>
      </c>
      <c r="J705" s="214">
        <f>IF(OR(D670=0,D671="　"),"",MROUND(D683,0.1))</f>
        <v>9.7000000000000011</v>
      </c>
      <c r="K705" s="214">
        <f>IFERROR(D670*J705,"")</f>
        <v>97.000000000000014</v>
      </c>
    </row>
    <row r="706" spans="2:11" ht="12" customHeight="1">
      <c r="B706" s="206" t="str" cm="1">
        <f t="array" ref="B706">_xlfn.IFS(OR(D670=0,D671="　",MID(D674,1,2)="なし",MID(D674,1,3)="受圧体"),"",MID(D674,1,3)="のり面","のり面角度台座",MID(D674,1,3)="構造物","構造物壁面台座",MID(D674,1,3)="土留め","土留め台座")</f>
        <v>のり面角度台座</v>
      </c>
      <c r="C706" s="210" t="str" cm="1">
        <f t="array" ref="C706">IF(OR(D670=0,D671="　",MID(D674,1,2)="なし",MID(D674,1,3)="受圧体"),"",_xlfn.IFS(MID(D674,1,3)="のり面",IF(1*MID(D671,4,1)=5,_xlfn.IFS(1*MID(LEFT(D671, LEN(D671)-1),6,2)&lt;5,"ST140",1*MID(LEFT(D671, LEN(D671)-1),6,2)&lt;8,"ST170",1*MID(LEFT(D671, LEN(D671)-1),6,2)&lt;13,"ST220"),_xlfn.IFS(1*MID(LEFT(D671, LEN(D671)-1),6,2)&lt;4,"ST140",1*MID(LEFT(D671, LEN(D671)-1),6,2)&lt;5,"ST170",1*MID(LEFT(D671, LEN(D671)-1),6,2)&lt;8,"ST220",1*MID(LEFT(D671, LEN(D671)-1),6,2)&lt;15,"非該当"))&amp;"、FCD450相当、防食："&amp;_xlfn.IFS(MID(D672,1,3)="防食Ⅱ","HDZT77めっき",MID(D672,5,2)="塩害","ｱﾙﾐﾅｲｽﾞ処理",MID(D672,5,2)="酸性","重防食処理"),OR(MID(D674,1,3)="構造物",MID(D674,1,3)="土留め"),D671&amp;"用"&amp;IF(OR(MID(D674,1,3)="構造物",D675="　"),"",D675)&amp;"、防食："&amp;_xlfn.IFS(MID(D672,1,3)="防食Ⅱ","HDZT77めっき",MID(D672,5,2)="塩害","ｱﾙﾐﾅｲｽﾞ処理",MID(D672,5,2)="酸性","重防食処理")))</f>
        <v>ST140、FCD450相当、防食：HDZT77めっき</v>
      </c>
      <c r="D706" s="208"/>
      <c r="E706" s="209"/>
      <c r="F706" s="217" t="str">
        <f>IF(OR(D674="なし",D674="受圧体のみ"),"","n=1")</f>
        <v>n=1</v>
      </c>
      <c r="G706" s="218"/>
      <c r="H706" s="219"/>
      <c r="I706" s="213" t="str">
        <f>IF(OR(D670=0,D671="　",B706=""),"","台")</f>
        <v>台</v>
      </c>
      <c r="J706" s="220" t="str">
        <f>IF(OR(D670=0,D671="　"),"",MID(F706,3,2))</f>
        <v>1</v>
      </c>
      <c r="K706" s="214">
        <f>IFERROR(D670*J706,"")</f>
        <v>10</v>
      </c>
    </row>
    <row r="707" spans="2:11" ht="12" customHeight="1">
      <c r="B707" s="206" t="str">
        <f>IF(OR(D670=0,D671="　",MID(D674,1,3)&lt;&gt;"のり面"),"","補剛板")</f>
        <v>補剛板</v>
      </c>
      <c r="C707" s="210" t="str" cm="1">
        <f t="array" ref="C707">IF(OR(D670=0,D671="　",MID(D674,1,3)&lt;&gt;"のり面"),"",IF(MID(D671,4,1)="5","□"&amp;_xlfn.SWITCH(1*MID(LEFT(D671, LEN(D671)-1),6,2),1,"210φ131t12",2,"210φ131t12",3,"240φ131t12",4,"270φ131t12",5,"280φ143t12",6,"310φ143t16",7,"350φ143t19",8,"350φ180t19",9,"350φ180t19",10,"350φ180t19",11,"350φ180t22",12,"350φ180t22"),"□"&amp;_xlfn.SWITCH(1*MID(LEFT(D671, LEN(D671)-1),6,2),1,"210,φ131,t12",2,"240,φ131,t12",3,"270,φ131,t16",4,"300,φ143,t16",5,"350,φ180,t16",6,"350,φ180,t16",7,"350,φ180,t19",8,"400,φ──,t12",9,"400,φ──,t12",10,"400,φ──,t12",11,"400,φ──,t12",12,"400,φ──,t12",13,"400,φ──,t12",14,"400,φ──,t12"))&amp;"、SS400相当、防食："&amp;_xlfn.IFS(MID(D672,1,3)="防食Ⅱ","HDZT77めっき",MID(D672,5,2)="塩害","ｱﾙﾐﾅｲｽﾞ処理",MID(D672,5,2)="酸性","重防食処理"))</f>
        <v>□270φ131t12、SS400相当、防食：HDZT77めっき</v>
      </c>
      <c r="D707" s="208"/>
      <c r="E707" s="209"/>
      <c r="F707" s="217" t="str">
        <f>IF(OR(D670=0,D671="　",MID(D674,1,3)&lt;&gt;"のり面"),"","n=1")</f>
        <v>n=1</v>
      </c>
      <c r="G707" s="218"/>
      <c r="H707" s="219"/>
      <c r="I707" s="213" t="str">
        <f>IF(OR(D670=0,D671="　",B707="",MID(D674,1,3)&lt;&gt;"のり面"),"","枚")</f>
        <v>枚</v>
      </c>
      <c r="J707" s="220" t="str">
        <f>IF(OR(D670=0,D671="　"),"",MID(F707,3,2))</f>
        <v>1</v>
      </c>
      <c r="K707" s="214">
        <f>IFERROR(D670*J707,"")</f>
        <v>10</v>
      </c>
    </row>
    <row r="708" spans="2:11" ht="12" customHeight="1">
      <c r="B708" s="206" t="str" cm="1">
        <f t="array" ref="B708">_xlfn.IFS(OR(D670=0,D671="　"),"",MID(D673,1,3)="アルミ","",MID(D673,1,3)&lt;&gt;"アルミ","テンドン補修用塗料")</f>
        <v>テンドン補修用塗料</v>
      </c>
      <c r="C708" s="210" t="str" cm="1">
        <f t="array" ref="C708">_xlfn.IFS(OR(D670=0,D671="　"),"",MID(D673,1,3)="アルミ","",MID(D673,1,3)&lt;&gt;"アルミ","エポキシ樹脂")</f>
        <v>エポキシ樹脂</v>
      </c>
      <c r="D708" s="208"/>
      <c r="E708" s="209"/>
      <c r="F708" s="217" t="str" cm="1">
        <f t="array" ref="F708">_xlfn.IFS(OR(D670=0,D671="　"),"",MID(D673,1,3)="アルミ","",MID(D673,1,3)&lt;&gt;"アルミ","W=PC鋼より線本数×"&amp;IF(MID(D671,4,1)="5","0.28","0.40"))</f>
        <v>W=PC鋼より線本数×0.28</v>
      </c>
      <c r="G708" s="218"/>
      <c r="H708" s="219"/>
      <c r="I708" s="213" t="str" cm="1">
        <f t="array" ref="I708">_xlfn.IFS(OR(D670=0,D671="　"),"",MID(D673,1,3)="アルミ","",MID(D673,1,3)&lt;&gt;"アルミ","g")</f>
        <v>g</v>
      </c>
      <c r="J708" s="224" cm="1">
        <f t="array" ref="J708">_xlfn.IFS(OR(D670=0,D671="　"),"",MID(D673,1,3)="アルミ","",MID(D673,1,3)&lt;&gt;"アルミ",MID(LEFT(D671, LEN(D671)-1),6,2)*IF(MID(D671,4,1)="5",0.28,0.4))</f>
        <v>1.1200000000000001</v>
      </c>
      <c r="K708" s="214">
        <f>IFERROR(D670*J708,"")</f>
        <v>11.200000000000001</v>
      </c>
    </row>
    <row r="709" spans="2:11" ht="12" customHeight="1">
      <c r="B709" s="206" t="str" cm="1">
        <f t="array" ref="B709">_xlfn.IFS(OR(D670=0,D671="　"),"",MID(D673,1,3)="アルミ","",MID(D673,1,3)&lt;&gt;"アルミ","長期防錆スプレー")</f>
        <v>長期防錆スプレー</v>
      </c>
      <c r="C709" s="210" t="str" cm="1">
        <f t="array" ref="C709">_xlfn.IFS(OR(D670=0,D671="　"),"",MID(D673,1,3)="アルミ","",MID(D673,1,3)&lt;&gt;"アルミ","防錆オイル")</f>
        <v>防錆オイル</v>
      </c>
      <c r="D709" s="208"/>
      <c r="E709" s="209"/>
      <c r="F709" s="217" t="str" cm="1">
        <f t="array" ref="F709">_xlfn.IFS(OR(D670=0,D671="　"),"",MID(D673,1,3)="アルミ","",MID(D673,1,3)&lt;&gt;"アルミ","n=0.01×(PC鋼より線本数+"&amp;IF(MID(D671,4,1)="5","6","12")&amp;")")</f>
        <v>n=0.01×(PC鋼より線本数+6)</v>
      </c>
      <c r="G709" s="218"/>
      <c r="H709" s="219"/>
      <c r="I709" s="213" t="str" cm="1">
        <f t="array" ref="I709">_xlfn.IFS(OR(D670=0,D671="　"),"",MID(D673,1,3)="アルミ","",MID(D673,1,3)&lt;&gt;"アルミ","缶")</f>
        <v>缶</v>
      </c>
      <c r="J709" s="224" cm="1">
        <f t="array" ref="J709">_xlfn.IFS(OR(D670=0,D671="　"),"",MID(D673,1,3)="アルミ","",MID(D673,1,3)&lt;&gt;"アルミ",0.01*(MID(LEFT(D671, LEN(D671)-1),6,2)+IF(MID(D671,4,1)="5",6,12)))</f>
        <v>0.1</v>
      </c>
      <c r="K709" s="214">
        <f>IFERROR(D670*J709,"")</f>
        <v>1</v>
      </c>
    </row>
    <row r="710" spans="2:11" ht="12" customHeight="1">
      <c r="B710" s="206" t="str">
        <f>IF(OR(D670=0,D671="　",D676="なし"),"","フリーパッカー注入ホース")</f>
        <v/>
      </c>
      <c r="C710" s="207" t="str">
        <f>IF(OR(D670=0,D671="　",B710=""),"","16/20、高密度ポリエチレン")</f>
        <v/>
      </c>
      <c r="D710" s="208"/>
      <c r="E710" s="209"/>
      <c r="F710" s="210" t="str">
        <f>IF(B710="","","L=自由長+緊張部長")</f>
        <v/>
      </c>
      <c r="G710" s="211"/>
      <c r="H710" s="212"/>
      <c r="I710" s="213" t="str">
        <f>IF(OR(D670=0,D671="　",B710=""),"","m")</f>
        <v/>
      </c>
      <c r="J710" s="214" t="str">
        <f>IF(OR(D670=0,D671="　"),"",IF(B710="","",MROUND(D680+D681,0.1)))</f>
        <v/>
      </c>
      <c r="K710" s="214" t="str">
        <f>IFERROR(D670*J710,"")</f>
        <v/>
      </c>
    </row>
    <row r="711" spans="2:11" ht="12" customHeight="1">
      <c r="B711" s="225" t="str">
        <f>IF(OR(D670=0,D671="　",D676="なし"),"","フリーパッカー")</f>
        <v/>
      </c>
      <c r="C711" s="217" t="str" cm="1">
        <f t="array" ref="C711">IF(OR(D670=0,D671="　",B710=""),"",_xlfn.SWITCH(D685,90,"PA-170",115,"PA-200",135,"PA-240",146,"PA-240",165,"PA-350")&amp;"、織布")</f>
        <v/>
      </c>
      <c r="D711" s="208"/>
      <c r="E711" s="209"/>
      <c r="F711" s="226" t="str">
        <f>IF(B711="","","L=自由長+0.5m")</f>
        <v/>
      </c>
      <c r="G711" s="227"/>
      <c r="H711" s="228"/>
      <c r="I711" s="213" t="str">
        <f>IF(OR(D671=0,D672="　",B711=""),"","m")</f>
        <v/>
      </c>
      <c r="J711" s="214" t="str">
        <f>IF(OR(D670=0,D671="　"),"",IF(B711="","",MROUND(D680+0.5,0.1)))</f>
        <v/>
      </c>
      <c r="K711" s="214" t="str">
        <f>IFERROR(D670*J711,"")</f>
        <v/>
      </c>
    </row>
    <row r="712" spans="2:11" ht="12" customHeight="1">
      <c r="B712" s="206" t="str">
        <f>IF(OR(D670=0,D671="　",D676="なし"),"","パッカー取付加工")</f>
        <v/>
      </c>
      <c r="C712" s="207"/>
      <c r="D712" s="208"/>
      <c r="E712" s="209"/>
      <c r="F712" s="217" t="str">
        <f>IF(B712="","","n=1")</f>
        <v/>
      </c>
      <c r="G712" s="218"/>
      <c r="H712" s="219"/>
      <c r="I712" s="213" t="str">
        <f>IF(OR(D672=0,D673="　",B712=""),"","式")</f>
        <v/>
      </c>
      <c r="J712" s="220" t="str">
        <f>IF(OR(D670=0,D671="　"),"",MID(F712,3,2))</f>
        <v/>
      </c>
      <c r="K712" s="206" t="str">
        <f>IFERROR(D670*J712,"")</f>
        <v/>
      </c>
    </row>
    <row r="713" spans="2:11" ht="12" customHeight="1">
      <c r="B713" s="229"/>
      <c r="C713" s="230"/>
      <c r="D713" s="231"/>
      <c r="E713" s="232"/>
      <c r="F713" s="233"/>
      <c r="G713" s="234"/>
      <c r="H713" s="235"/>
      <c r="I713" s="236"/>
      <c r="J713" s="237"/>
      <c r="K713" s="229"/>
    </row>
    <row r="714" spans="2:11" ht="12" customHeight="1">
      <c r="B714" s="238" t="s">
        <v>30</v>
      </c>
      <c r="C714" s="239" t="s">
        <v>31</v>
      </c>
      <c r="D714" s="240"/>
      <c r="E714" s="241"/>
      <c r="F714" s="242" t="s">
        <v>157</v>
      </c>
      <c r="G714" s="243"/>
      <c r="H714" s="244"/>
      <c r="I714" s="245" t="s">
        <v>55</v>
      </c>
      <c r="J714" s="246">
        <f>IFERROR(MROUND(0.25*PI()*(0.001*D685)^2*(D678+D679+D684)*(1+2.2),0.01),"")</f>
        <v>0.17</v>
      </c>
      <c r="K714" s="246">
        <f>IFERROR(D670*J714,"")</f>
        <v>1.7000000000000002</v>
      </c>
    </row>
    <row r="716" spans="2:11" ht="12" customHeight="1">
      <c r="B716" s="247" t="s">
        <v>136</v>
      </c>
      <c r="C716" s="247"/>
      <c r="D716" s="247"/>
      <c r="F716" s="163"/>
      <c r="G716" s="164"/>
      <c r="H716" s="164"/>
    </row>
    <row r="717" spans="2:11" ht="12" customHeight="1">
      <c r="B717" s="15" t="s">
        <v>111</v>
      </c>
      <c r="C717" s="15"/>
      <c r="D717" s="1"/>
      <c r="E717" s="1"/>
      <c r="H717" s="119"/>
      <c r="J717" s="118"/>
    </row>
    <row r="718" spans="2:11" ht="12" customHeight="1">
      <c r="B718" s="165" t="s">
        <v>166</v>
      </c>
      <c r="C718" s="3"/>
      <c r="D718" s="1"/>
      <c r="E718" s="1"/>
      <c r="F718" s="8"/>
      <c r="G718" s="8"/>
      <c r="H718" s="102"/>
      <c r="I718" s="28"/>
      <c r="J718" s="118"/>
    </row>
    <row r="719" spans="2:11" ht="12" customHeight="1">
      <c r="B719" s="15" t="s">
        <v>40</v>
      </c>
      <c r="C719" s="3"/>
      <c r="D719" s="1"/>
      <c r="E719" s="1"/>
      <c r="F719" s="15" t="s">
        <v>54</v>
      </c>
      <c r="G719" s="15"/>
      <c r="H719" s="102"/>
      <c r="I719" s="28"/>
    </row>
    <row r="720" spans="2:11" ht="12" customHeight="1">
      <c r="B720" s="2" t="s">
        <v>53</v>
      </c>
      <c r="C720" s="2" t="s">
        <v>21</v>
      </c>
      <c r="D720" s="2" t="s">
        <v>22</v>
      </c>
      <c r="E720" s="17"/>
      <c r="F720" s="49" t="s">
        <v>41</v>
      </c>
      <c r="G720" s="97" t="s">
        <v>59</v>
      </c>
      <c r="H720" s="49" t="s">
        <v>44</v>
      </c>
      <c r="I720" s="2" t="s">
        <v>21</v>
      </c>
      <c r="J720" s="49" t="s">
        <v>138</v>
      </c>
      <c r="K720" s="2" t="s">
        <v>28</v>
      </c>
    </row>
    <row r="721" spans="2:11" ht="12" customHeight="1">
      <c r="B721" s="166" t="s">
        <v>25</v>
      </c>
      <c r="C721" s="18" t="s">
        <v>24</v>
      </c>
      <c r="D721" s="167">
        <v>10</v>
      </c>
      <c r="E721" s="19"/>
      <c r="F721" s="168" t="s">
        <v>43</v>
      </c>
      <c r="G721" s="169" t="s">
        <v>113</v>
      </c>
      <c r="H721" s="88" t="str" cm="1">
        <f t="array" ref="H721">_xlfn.IFS(AND(F721&lt;&gt;"非削孔",F721&lt;&gt;"無設定"),D736,F721="非削孔",IF(MID(D725,1,3)="土留め","非削孔","箱抜き"),F721="無設定","無設定")</f>
        <v>箱抜き</v>
      </c>
      <c r="I721" s="23" t="str">
        <f>IF(F721="無設定","","m")</f>
        <v>m</v>
      </c>
      <c r="J721" s="170">
        <v>0.5</v>
      </c>
      <c r="K721" s="30">
        <f>D721*J721</f>
        <v>5</v>
      </c>
    </row>
    <row r="722" spans="2:11" ht="12" customHeight="1">
      <c r="B722" s="171" t="s">
        <v>37</v>
      </c>
      <c r="C722" s="50" t="s">
        <v>38</v>
      </c>
      <c r="D722" s="172" t="s">
        <v>159</v>
      </c>
      <c r="E722" s="173"/>
      <c r="F722" s="174" t="s">
        <v>49</v>
      </c>
      <c r="G722" s="169" t="s">
        <v>114</v>
      </c>
      <c r="H722" s="88" cm="1">
        <f t="array" ref="H722">_xlfn.IFS(AND(F722&lt;&gt;"非削孔",F722&lt;&gt;"無設定"),D736,F722="非削孔","箱抜き",F722="無設定","無設定")</f>
        <v>90</v>
      </c>
      <c r="I722" s="23" t="str">
        <f t="shared" ref="I722:I730" si="28">IF(F722="無設定","","m")</f>
        <v>m</v>
      </c>
      <c r="J722" s="170">
        <v>2.64</v>
      </c>
      <c r="K722" s="30">
        <f>D721*J722</f>
        <v>26.400000000000002</v>
      </c>
    </row>
    <row r="723" spans="2:11" ht="12" customHeight="1">
      <c r="B723" s="52" t="s">
        <v>39</v>
      </c>
      <c r="C723" s="91" t="s">
        <v>38</v>
      </c>
      <c r="D723" s="175" t="s">
        <v>60</v>
      </c>
      <c r="E723" s="140"/>
      <c r="F723" s="174" t="s">
        <v>49</v>
      </c>
      <c r="G723" s="169" t="s">
        <v>115</v>
      </c>
      <c r="H723" s="88" cm="1">
        <f t="array" ref="H723">_xlfn.IFS(AND(F723&lt;&gt;"非削孔",F723&lt;&gt;"無設定"),D736,F723="非削孔","箱抜き",F723="無設定","無設定")</f>
        <v>90</v>
      </c>
      <c r="I723" s="23" t="str">
        <f t="shared" si="28"/>
        <v>m</v>
      </c>
      <c r="J723" s="170">
        <v>5.36</v>
      </c>
      <c r="K723" s="30">
        <f>D721*J723</f>
        <v>53.6</v>
      </c>
    </row>
    <row r="724" spans="2:11" ht="12" customHeight="1">
      <c r="B724" s="147" t="s">
        <v>140</v>
      </c>
      <c r="C724" s="91" t="s">
        <v>38</v>
      </c>
      <c r="D724" s="176" t="s">
        <v>141</v>
      </c>
      <c r="E724" s="141"/>
      <c r="F724" s="174" t="s">
        <v>48</v>
      </c>
      <c r="G724" s="169"/>
      <c r="H724" s="88" t="str" cm="1">
        <f t="array" ref="H724">_xlfn.IFS(AND(F724&lt;&gt;"非削孔",F724&lt;&gt;"無設定"),D736,F724="非削孔","箱抜き",F724="無設定","無設定")</f>
        <v>無設定</v>
      </c>
      <c r="I724" s="23" t="str">
        <f t="shared" si="28"/>
        <v/>
      </c>
      <c r="J724" s="170">
        <v>0</v>
      </c>
      <c r="K724" s="30">
        <f>D721*J724</f>
        <v>0</v>
      </c>
    </row>
    <row r="725" spans="2:11" ht="12" customHeight="1">
      <c r="B725" s="147" t="s">
        <v>142</v>
      </c>
      <c r="C725" s="91" t="s">
        <v>38</v>
      </c>
      <c r="D725" s="177" t="s">
        <v>160</v>
      </c>
      <c r="E725" s="21"/>
      <c r="F725" s="174" t="s">
        <v>48</v>
      </c>
      <c r="G725" s="169"/>
      <c r="H725" s="88" t="str" cm="1">
        <f t="array" ref="H725">_xlfn.IFS(AND(F725&lt;&gt;"非削孔",F725&lt;&gt;"無設定"),D736,F725="非削孔","箱抜き",F725="無設定","無設定")</f>
        <v>無設定</v>
      </c>
      <c r="I725" s="23" t="str">
        <f t="shared" si="28"/>
        <v/>
      </c>
      <c r="J725" s="170">
        <v>0</v>
      </c>
      <c r="K725" s="30">
        <f>D721*J725</f>
        <v>0</v>
      </c>
    </row>
    <row r="726" spans="2:11" ht="12" customHeight="1">
      <c r="B726" s="114" t="str">
        <f>IF(MID(D725,1,3)="土留め",D725&amp;"の種類","")</f>
        <v/>
      </c>
      <c r="C726" s="91" t="s">
        <v>38</v>
      </c>
      <c r="D726" s="178" t="s">
        <v>71</v>
      </c>
      <c r="E726" s="21"/>
      <c r="F726" s="174" t="s">
        <v>48</v>
      </c>
      <c r="G726" s="169"/>
      <c r="H726" s="88" t="str" cm="1">
        <f t="array" ref="H726">_xlfn.IFS(AND(F726&lt;&gt;"非削孔",F726&lt;&gt;"無設定"),D736,F726="非削孔","箱抜き",F726="無設定","無設定")</f>
        <v>無設定</v>
      </c>
      <c r="I726" s="23" t="str">
        <f t="shared" si="28"/>
        <v/>
      </c>
      <c r="J726" s="170">
        <v>0</v>
      </c>
      <c r="K726" s="30">
        <f>D721*J726</f>
        <v>0</v>
      </c>
    </row>
    <row r="727" spans="2:11" ht="12" customHeight="1">
      <c r="B727" s="179" t="s">
        <v>50</v>
      </c>
      <c r="C727" s="180" t="s">
        <v>38</v>
      </c>
      <c r="D727" s="181" t="s">
        <v>51</v>
      </c>
      <c r="E727" s="182"/>
      <c r="F727" s="174" t="s">
        <v>48</v>
      </c>
      <c r="G727" s="169"/>
      <c r="H727" s="88" t="str" cm="1">
        <f t="array" ref="H727">_xlfn.IFS(AND(F727&lt;&gt;"非削孔",F727&lt;&gt;"無設定"),D736,F727="非削孔","箱抜き",F727="無設定","無設定")</f>
        <v>無設定</v>
      </c>
      <c r="I727" s="23" t="str">
        <f t="shared" si="28"/>
        <v/>
      </c>
      <c r="J727" s="170">
        <v>0</v>
      </c>
      <c r="K727" s="30">
        <f>D721*J727</f>
        <v>0</v>
      </c>
    </row>
    <row r="728" spans="2:11" ht="12" customHeight="1">
      <c r="B728" s="160" t="str" cm="1">
        <f t="array" ref="B728">"頭部自由長"&amp;_xlfn.IFS(MID(D725,1,2)="なし","",MID(D725,1,3)="受圧体","(受圧体)",MID(D725,1,3)="のり面","(角度台座＋受圧体)",MID(D725,1,3)="構造物","(壁面台座)",MID(D725,1,3)="土留め","(台座+腹起し)")&amp;"　Lfh"</f>
        <v>頭部自由長(角度台座＋受圧体)　Lfh</v>
      </c>
      <c r="C728" s="155" t="s">
        <v>23</v>
      </c>
      <c r="D728" s="183">
        <v>0.5</v>
      </c>
      <c r="E728" s="21"/>
      <c r="F728" s="174" t="s">
        <v>144</v>
      </c>
      <c r="G728" s="169"/>
      <c r="H728" s="88" cm="1">
        <f t="array" ref="H728">_xlfn.IFS(AND(F728&lt;&gt;"非削孔",F728&lt;&gt;"無設定"),D736,F728="非削孔","箱抜き",F728="無設定","無設定")</f>
        <v>90</v>
      </c>
      <c r="I728" s="23" t="str">
        <f t="shared" si="28"/>
        <v>m</v>
      </c>
      <c r="J728" s="170">
        <v>0</v>
      </c>
      <c r="K728" s="30">
        <f>D721*J728</f>
        <v>0</v>
      </c>
    </row>
    <row r="729" spans="2:11" ht="12" customHeight="1">
      <c r="B729" s="22" t="s">
        <v>108</v>
      </c>
      <c r="C729" s="23" t="s">
        <v>23</v>
      </c>
      <c r="D729" s="184">
        <v>4</v>
      </c>
      <c r="E729" s="21"/>
      <c r="F729" s="174" t="s">
        <v>48</v>
      </c>
      <c r="G729" s="169"/>
      <c r="H729" s="88" t="str" cm="1">
        <f t="array" ref="H729">_xlfn.IFS(AND(F729&lt;&gt;"非削孔",F729&lt;&gt;"無設定"),D736,F729="非削孔","箱抜き",F729="無設定","無設定")</f>
        <v>無設定</v>
      </c>
      <c r="I729" s="23" t="str">
        <f t="shared" si="28"/>
        <v/>
      </c>
      <c r="J729" s="170">
        <v>0</v>
      </c>
      <c r="K729" s="30">
        <f>D721*J729</f>
        <v>0</v>
      </c>
    </row>
    <row r="730" spans="2:11" ht="12" customHeight="1">
      <c r="B730" s="157" t="s">
        <v>36</v>
      </c>
      <c r="C730" s="158" t="s">
        <v>23</v>
      </c>
      <c r="D730" s="185">
        <v>4</v>
      </c>
      <c r="F730" s="186" t="str" cm="1">
        <f t="array" ref="F730">INDEX(F721:H729,MATCH("無設定",F721:F729,0)-1,MATCH(F720,F720:H720,0))</f>
        <v>軟　岩</v>
      </c>
      <c r="G730" s="100" t="str" cm="1">
        <f t="array" ref="G730">INDEX(F721:H729,MATCH("無設定",F721:F729,0)-1,MATCH(G720,F720:H720,0))&amp;"　(先端長 L2d)"</f>
        <v>風化岩 CL　(先端長 L2d)</v>
      </c>
      <c r="H730" s="88" cm="1">
        <f t="array" ref="H730">INDEX(F721:H729,MATCH("無設定",F721:F729,0)-1,MATCH(H720,F720:H720,0))</f>
        <v>90</v>
      </c>
      <c r="I730" s="23" t="str">
        <f t="shared" si="28"/>
        <v>m</v>
      </c>
      <c r="J730" s="98">
        <f>D735</f>
        <v>0.25</v>
      </c>
      <c r="K730" s="78">
        <f>IFERROR(D721*J730,"")</f>
        <v>2.5</v>
      </c>
    </row>
    <row r="731" spans="2:11" ht="12" customHeight="1">
      <c r="B731" s="154" t="s">
        <v>145</v>
      </c>
      <c r="C731" s="155" t="s">
        <v>23</v>
      </c>
      <c r="D731" s="187">
        <f>IF(OR(D721=0,D722="　"),"──",SUM(D728:D729))</f>
        <v>4.5</v>
      </c>
      <c r="E731" s="19"/>
      <c r="F731" s="188"/>
      <c r="G731" s="75" t="s">
        <v>124</v>
      </c>
      <c r="H731" s="103"/>
      <c r="I731" s="18" t="s">
        <v>23</v>
      </c>
      <c r="J731" s="74">
        <f>SUMIFS(J721:J730,F721:F730,"&lt;&gt;非削孔",F721:F730,"&lt;&gt;無設定")</f>
        <v>8.25</v>
      </c>
      <c r="K731" s="95">
        <f>SUMIFS(K721:K730,F721:F730,"&lt;&gt;非削孔",F721:F730,"&lt;&gt;無設定")</f>
        <v>82.5</v>
      </c>
    </row>
    <row r="732" spans="2:11" ht="12" customHeight="1">
      <c r="B732" s="146" t="s">
        <v>146</v>
      </c>
      <c r="C732" s="23" t="s">
        <v>23</v>
      </c>
      <c r="D732" s="189" cm="1">
        <f t="array" ref="D732">IF(OR(D721=0,D722="　"),"──",IF(MID(D722,4,1)="5",_xlfn.IFS(1*MID(LEFT(D722, LEN(D722)-1),6,2)&lt;8,1,1*MID(LEFT(D722, LEN(D722)-1),6,2)&lt;13,1.2),_xlfn.IFS(1*MID(LEFT(D722, LEN(D722)-1),6,2)&lt;6,1,1*MID(LEFT(D722, LEN(D722)-1),6,2)&lt;15,1.2)))</f>
        <v>1</v>
      </c>
      <c r="E732" s="19"/>
      <c r="F732" s="190"/>
      <c r="G732" s="76" t="s">
        <v>47</v>
      </c>
      <c r="H732" s="104"/>
      <c r="I732" s="79" t="s">
        <v>46</v>
      </c>
      <c r="J732" s="77" t="str">
        <f>IF(OR(D721=0,D722="　"),"",IF(SUM(D729:D730,D735)=J731,"OK","NG"))</f>
        <v>OK</v>
      </c>
      <c r="K732" s="145" t="str">
        <f>IF(J732&lt;&gt;"NG","──",J731-SUM(D729:D730,D735))</f>
        <v>──</v>
      </c>
    </row>
    <row r="733" spans="2:11" ht="12" customHeight="1">
      <c r="B733" s="22" t="s">
        <v>125</v>
      </c>
      <c r="C733" s="23" t="s">
        <v>35</v>
      </c>
      <c r="D733" s="84">
        <f>IF(OR(D721=0,D722="　"),"──",0.2)</f>
        <v>0.2</v>
      </c>
      <c r="F733" s="191" t="s">
        <v>58</v>
      </c>
      <c r="G733" s="248" t="s">
        <v>110</v>
      </c>
      <c r="H733" s="249"/>
      <c r="I733" s="249"/>
      <c r="J733" s="249"/>
      <c r="K733" s="250"/>
    </row>
    <row r="734" spans="2:11" ht="12" customHeight="1">
      <c r="B734" s="6" t="s">
        <v>147</v>
      </c>
      <c r="C734" s="23" t="s">
        <v>23</v>
      </c>
      <c r="D734" s="60">
        <f>IF(OR(D721=0,D722="　"),"──",SUM(D730:D733))</f>
        <v>9.6999999999999993</v>
      </c>
    </row>
    <row r="735" spans="2:11" ht="12" customHeight="1">
      <c r="B735" s="25" t="s">
        <v>127</v>
      </c>
      <c r="C735" s="26" t="s">
        <v>23</v>
      </c>
      <c r="D735" s="27">
        <f>IF(OR(D721=0,D722="　"),"──",0.25)</f>
        <v>0.25</v>
      </c>
      <c r="F735" s="8"/>
      <c r="G735" s="8"/>
      <c r="H735" s="102"/>
    </row>
    <row r="736" spans="2:11" ht="12" customHeight="1">
      <c r="B736" s="95" t="s">
        <v>123</v>
      </c>
      <c r="C736" s="18" t="s">
        <v>32</v>
      </c>
      <c r="D736" s="192">
        <v>90</v>
      </c>
      <c r="E736" s="193" t="str">
        <f>IF(D736&lt;D737,"NG：削孔径不適合","")</f>
        <v/>
      </c>
      <c r="F736" s="8"/>
      <c r="G736" s="8"/>
      <c r="H736" s="102"/>
    </row>
    <row r="737" spans="2:11" ht="12" customHeight="1">
      <c r="B737" s="25" t="s">
        <v>122</v>
      </c>
      <c r="C737" s="26" t="s">
        <v>32</v>
      </c>
      <c r="D737" s="194" cm="1">
        <f t="array" ref="D737">IF(OR(D721=0,D722="　"),"──",IF(D727="なし",IF(MID(D722,4,1)="5",_xlfn.IFS(1*MID(LEFT(D722, LEN(D722)-1),6,2)&lt;6,90,1*MID(LEFT(D722, LEN(D722)-1),6,2)&lt;9,115,1*MID(LEFT(D722, LEN(D722)-1),6,2)&gt;8,135),_xlfn.IFS(1*MID(LEFT(D722, LEN(D722)-1),6,2)&lt;4,90,1*MID(LEFT(D722, LEN(D722)-1),6,2)&lt;7,115,1*MID(LEFT(D722, LEN(D722)-1),6,2)&lt;10,135,1*MID(LEFT(D722, LEN(D722)-1),6,2)&lt;13,146,1*MID(LEFT(D722, LEN(D722)-1),6,2)&gt;12,165)),IF(MID(D722,4,1)="5",_xlfn.IFS(1*MID(LEFT(D722, LEN(D722)-1),6,2)&lt;3,90,1*MID(LEFT(D722, LEN(D722)-1),6,2)&lt;7,115,1*MID(LEFT(D722, LEN(D722)-1),6,2)&lt;9,135,1*MID(LEFT(D722, LEN(D722)-1),6,2)&gt;8,146),_xlfn.IFS(1*MID(LEFT(D722, LEN(D722)-1),6,2)&lt;3,90,1*MID(LEFT(D722, LEN(D722)-1),6,2)&lt;4,115,1*MID(LEFT(D722, LEN(D722)-1),6,2)&lt;6,135,1*MID(LEFT(D722, LEN(D722)-1),6,2)&lt;10,146,1*MID(LEFT(D722, LEN(D722)-1),6,2)&lt;13,165,1*MID(LEFT(D722, LEN(D722)-1),6,2)&gt;12,216))))</f>
        <v>90</v>
      </c>
      <c r="E737" s="195"/>
      <c r="F737" s="8"/>
      <c r="G737" s="8"/>
      <c r="H737" s="102"/>
    </row>
    <row r="738" spans="2:11" ht="12" customHeight="1">
      <c r="B738" s="20"/>
      <c r="C738" s="46"/>
      <c r="D738" s="117"/>
      <c r="F738" s="8"/>
      <c r="G738" s="8"/>
      <c r="H738" s="102"/>
    </row>
    <row r="739" spans="2:11" ht="12" customHeight="1">
      <c r="B739" s="15" t="str">
        <f>"■"&amp;MID(B716,2,14)</f>
        <v>■本設：EHDアンカーHP工法</v>
      </c>
      <c r="C739" s="3"/>
      <c r="D739" s="1"/>
      <c r="E739" s="1"/>
      <c r="F739" s="8"/>
      <c r="G739" s="8"/>
      <c r="H739" s="102"/>
    </row>
    <row r="740" spans="2:11" ht="12" customHeight="1">
      <c r="B740" s="2" t="s">
        <v>17</v>
      </c>
      <c r="C740" s="43"/>
      <c r="D740" s="196" t="s">
        <v>148</v>
      </c>
      <c r="E740" s="135"/>
      <c r="F740" s="16"/>
      <c r="G740" s="61" t="s">
        <v>42</v>
      </c>
      <c r="H740" s="97"/>
      <c r="I740" s="2" t="s">
        <v>21</v>
      </c>
      <c r="J740" s="49" t="s">
        <v>149</v>
      </c>
      <c r="K740" s="2" t="s">
        <v>28</v>
      </c>
    </row>
    <row r="741" spans="2:11" ht="12" customHeight="1">
      <c r="B741" s="197" t="s">
        <v>150</v>
      </c>
      <c r="C741" s="198" t="str">
        <f>IF(OR(D721=0,D722="　"),"",D722&amp;" ("&amp;MID(LEFT(D722, LEN(D722)-1),6,2)&amp;IF(MID(D722,4,1)="5","φ12.7","φ15.2")&amp;")")</f>
        <v>EHD5-4H (4φ12.7)</v>
      </c>
      <c r="D741" s="199"/>
      <c r="E741" s="200"/>
      <c r="F741" s="201" t="str">
        <f>"W=テンドン長×PC鋼より線本数×"&amp;IF(MID(D722,4,1)="5","0.774","1.101")&amp;"kg/m"</f>
        <v>W=テンドン長×PC鋼より線本数×0.774kg/m</v>
      </c>
      <c r="G741" s="202"/>
      <c r="H741" s="203"/>
      <c r="I741" s="204" t="s">
        <v>11</v>
      </c>
      <c r="J741" s="205">
        <f>IF(OR(D721=0,D722="　"),"",MROUND(D734*MID(LEFT(D722, LEN(D722)-1),6,2)*IF(MID(D722,4,1)="5","0.774","1.101"),0.01))</f>
        <v>30.03</v>
      </c>
      <c r="K741" s="205">
        <f>IFERROR(D721*J741,"")</f>
        <v>300.3</v>
      </c>
    </row>
    <row r="742" spans="2:11" ht="12" customHeight="1">
      <c r="B742" s="206" t="s">
        <v>151</v>
      </c>
      <c r="C742" s="207"/>
      <c r="D742" s="208"/>
      <c r="E742" s="209"/>
      <c r="F742" s="210" t="s">
        <v>33</v>
      </c>
      <c r="G742" s="211"/>
      <c r="H742" s="212"/>
      <c r="I742" s="213" t="s">
        <v>12</v>
      </c>
      <c r="J742" s="214">
        <f>IF(OR(D721=0,D722="　"),"",MROUND(D734,0.1))</f>
        <v>9.7000000000000011</v>
      </c>
      <c r="K742" s="214">
        <f>IFERROR(D721*J742,"")</f>
        <v>97.000000000000014</v>
      </c>
    </row>
    <row r="743" spans="2:11" ht="12" customHeight="1">
      <c r="B743" s="206" t="str">
        <f>"頭部キャップ"</f>
        <v>頭部キャップ</v>
      </c>
      <c r="C743" s="207" t="str" cm="1">
        <f t="array" ref="C743">IF(OR(D721=0,D722="　"),"",IF(MID(D722,4,1)="5",_xlfn.SWITCH(1*MID(LEFT(D722, LEN(D722)-1),6,2),1,"S",2,"S",3,"S",4,"S",5,"M",6,"M",7,"M",8,"L",9,"L",10,"L",11,"L",12,"L"),_xlfn.SWITCH(1*MID(LEFT(D722, LEN(D722)-1),6,2),1,"S",2,"S",3,"M",4,"M",5,"L",6,"L",7,"L",8,"LL",9,"LL",10,"LL",11,"LL",12,"LL",13,"LL",14,"LL"))&amp;"型"&amp;D724&amp;IF(OR(MID(D724,1,2)="透明",MID(D724,1,2)="5窓"),"、PC樹脂","")&amp;"、ｱﾙﾐAC4C相当"&amp;_xlfn.IFS(MID(D723,1,3)="防食Ⅱ","",MID(D723,5,2)="塩害","、防食：ﾀｹｺｰﾄ処理",MID(D723,5,2)="酸性","、防食：重防食処理"))</f>
        <v>S型透明キャップ、PC樹脂、ｱﾙﾐAC4C相当</v>
      </c>
      <c r="D743" s="215"/>
      <c r="E743" s="216"/>
      <c r="F743" s="217" t="str">
        <f t="shared" ref="F743:F749" si="29">"n=1"</f>
        <v>n=1</v>
      </c>
      <c r="G743" s="218"/>
      <c r="H743" s="219"/>
      <c r="I743" s="213" t="s">
        <v>13</v>
      </c>
      <c r="J743" s="220" t="str">
        <f>IF(OR(D721=0,D722="　"),"",MID(F743,3,2))</f>
        <v>1</v>
      </c>
      <c r="K743" s="214">
        <f>IFERROR(D721*J743,"")</f>
        <v>10</v>
      </c>
    </row>
    <row r="744" spans="2:11" ht="12" customHeight="1">
      <c r="B744" s="206" t="s">
        <v>5</v>
      </c>
      <c r="C744" s="207" t="str" cm="1">
        <f t="array" ref="C744">IF(OR(D721=0,D722="　"),"",IF(MID(D722,4,1)="5","G5"&amp;_xlfn.SWITCH(1*MID(LEFT(D722, LEN(D722)-1),6,2),1,"01",2,"02",3,"03",4,"04",5,"07",6,"07",7,"07",8,"09",9,"09",10,"12",11,"12",12,"12"),"G6"&amp;_xlfn.SWITCH(1*MID(LEFT(D722, LEN(D722)-1),6,2),1,"01",2,"02",3,"03",4,"04",5,"07",6,"07",7,"07",8,"09",9,"09",10,"12",11,"12",12,"12",13,"14",14,"14"))&amp;"、S45C相当"&amp;IF(MID(D724,1,3)&lt;&gt;"アルミ","、防食：無電解Niめっき",""))</f>
        <v>G504、S45C相当、防食：無電解Niめっき</v>
      </c>
      <c r="D744" s="208"/>
      <c r="E744" s="209"/>
      <c r="F744" s="217" t="str">
        <f t="shared" si="29"/>
        <v>n=1</v>
      </c>
      <c r="G744" s="218"/>
      <c r="H744" s="219"/>
      <c r="I744" s="213" t="s">
        <v>13</v>
      </c>
      <c r="J744" s="220" t="str">
        <f>IF(OR(D721=0,D722="　"),"",MID(F744,3,2))</f>
        <v>1</v>
      </c>
      <c r="K744" s="214">
        <f>IFERROR(D721*J744,"")</f>
        <v>10</v>
      </c>
    </row>
    <row r="745" spans="2:11" ht="12" customHeight="1">
      <c r="B745" s="206" t="s">
        <v>152</v>
      </c>
      <c r="C745" s="207" t="str" cm="1">
        <f t="array" ref="C745">IF(OR(D721=0,D722="　"),"",IF(MID(D722,4,1)="5","G5"&amp;_xlfn.SWITCH(1*MID(LEFT(D722, LEN(D722)-1),6,2),1,"01",2,"02",3,"03",4,"04",5,"07",6,"07",7,"07",8,"09",9,"09",10,"12",11,"12",12,"12"),"G6"&amp;_xlfn.SWITCH(1*MID(LEFT(D722, LEN(D722)-1),6,2),1,"01",2,"02",3,"03",4,"04",5,"07",6,"07",7,"07",8,"09",9,"09",10,"12",11,"12",12,"12",13,"14",14,"14"))&amp;"、S45C相当"&amp;IF(MID(D724,1,3)&lt;&gt;"アルミ","、防食：無電解Niめっき",""))</f>
        <v>G504、S45C相当、防食：無電解Niめっき</v>
      </c>
      <c r="D745" s="208"/>
      <c r="E745" s="209"/>
      <c r="F745" s="217" t="str">
        <f t="shared" si="29"/>
        <v>n=1</v>
      </c>
      <c r="G745" s="218"/>
      <c r="H745" s="219"/>
      <c r="I745" s="213" t="s">
        <v>13</v>
      </c>
      <c r="J745" s="220" t="str">
        <f>IF(OR(D721=0,D722="　"),"",MID(F745,3,2))</f>
        <v>1</v>
      </c>
      <c r="K745" s="214">
        <f>IFERROR(D721*J745,"")</f>
        <v>10</v>
      </c>
    </row>
    <row r="746" spans="2:11" ht="12" customHeight="1">
      <c r="B746" s="206" t="s">
        <v>7</v>
      </c>
      <c r="C746" s="207" t="str">
        <f>IF(OR(D721=0,D722="　"),"",IF(1*MID(D722,4,1)=5,"ECF12.7","ECF15.2")&amp;"、SCM415相当"&amp;IF(MID(D724,1,3)&lt;&gt;"アルミ","、防食：無電解Niめっき",""))</f>
        <v>ECF12.7、SCM415相当、防食：無電解Niめっき</v>
      </c>
      <c r="D746" s="208"/>
      <c r="E746" s="209"/>
      <c r="F746" s="217" t="str">
        <f t="shared" si="29"/>
        <v>n=1</v>
      </c>
      <c r="G746" s="218"/>
      <c r="H746" s="219"/>
      <c r="I746" s="213" t="s">
        <v>27</v>
      </c>
      <c r="J746" s="220" t="str">
        <f>IF(OR(D721=0,D722="　"),"",MID(F746,3,2))</f>
        <v>1</v>
      </c>
      <c r="K746" s="214">
        <f>IFERROR(D721*J746,"")</f>
        <v>10</v>
      </c>
    </row>
    <row r="747" spans="2:11" ht="12" customHeight="1">
      <c r="B747" s="206" t="s">
        <v>153</v>
      </c>
      <c r="C747" s="207" t="str" cm="1">
        <f t="array" ref="C747">IF(OR(D721=0,D722="　"),"",IF(MID(D722,4,1)="5","G5"&amp;_xlfn.SWITCH(1*MID(LEFT(D722, LEN(D722)-1),6,2),1,"01",2,"04",3,"03",4,"04",5,"07",6,"07",7,"07",8,"12",9,"12",10,"12",11,"12",12,"12"),"G6"&amp;_xlfn.SWITCH(1*MID(LEFT(D722, LEN(D722)-1),6,2),1,"01",2,"02",3,"03",4,"04",5,"07",6,"07",7,"07",8,"12",9,"12",10,"12",11,"12",12,"12",13,"14",14,"14"))&amp;"、SS400相当、防食："&amp;_xlfn.IFS(MID(D723,1,3)="防食Ⅱ","HDZT77めっき",MID(D723,5,2)="塩害","ｱﾙﾐﾅｲｽﾞ処理",MID(D723,5,2)="酸性","重防食処理"))</f>
        <v>G504、SS400相当、防食：HDZT77めっき</v>
      </c>
      <c r="D747" s="208"/>
      <c r="E747" s="209"/>
      <c r="F747" s="217" t="str">
        <f t="shared" si="29"/>
        <v>n=1</v>
      </c>
      <c r="G747" s="218"/>
      <c r="H747" s="219"/>
      <c r="I747" s="213" t="s">
        <v>16</v>
      </c>
      <c r="J747" s="220" t="str">
        <f>IF(OR(D721=0,D722="　"),"",MID(F747,3,2))</f>
        <v>1</v>
      </c>
      <c r="K747" s="214">
        <f>IFERROR(D721*J747,"")</f>
        <v>10</v>
      </c>
    </row>
    <row r="748" spans="2:11" ht="12" customHeight="1">
      <c r="B748" s="206" t="str">
        <f>IF(MID(D725,1,3)="のり面","管付","")&amp;"支圧板"</f>
        <v>管付支圧板</v>
      </c>
      <c r="C748" s="221" t="str" cm="1">
        <f t="array" ref="C748">IF(OR(D721=0,D722="　"),"","PL"&amp;IF(MID(D725,1,3)="のり面","P","")&amp;IF(MID(D722,4,1)="5","5-"&amp;_xlfn.SWITCH(1*MID(LEFT(D722, LEN(D722)-1),6,2),1,"1",2,"2",3,"3",4,"4",5,"5",6,"6",7,"7",8,"9",9,"9",10,"10",11,"11",12,"12"),"6-"&amp;_xlfn.SWITCH(1*MID(LEFT(D722, LEN(D722)-1),6,2),1,"1",2,"2",3,"3",4,"4",5,"6",6,"6",7,"7",8,"8",9,"9",10,"10",11,"11",12,"12",13,"14",14,"14"))&amp;"、SS400相当、防食："&amp;_xlfn.IFS(MID(D723,1,3)="防食Ⅱ","HDZT77めっき",MID(D723,5,2)="塩害","ｱﾙﾐﾅｲｽﾞ処理",MID(D723,5,2)="酸性","重防食処理"))</f>
        <v>PLP5-4、SS400相当、防食：HDZT77めっき</v>
      </c>
      <c r="D748" s="208"/>
      <c r="E748" s="209"/>
      <c r="F748" s="217" t="str">
        <f t="shared" si="29"/>
        <v>n=1</v>
      </c>
      <c r="G748" s="218"/>
      <c r="H748" s="219"/>
      <c r="I748" s="213" t="s">
        <v>16</v>
      </c>
      <c r="J748" s="220" t="str">
        <f>IF(OR(D721=0,D722="　"),"",MID(F748,3,2))</f>
        <v>1</v>
      </c>
      <c r="K748" s="214">
        <f>IFERROR(D721*J748,"")</f>
        <v>10</v>
      </c>
    </row>
    <row r="749" spans="2:11" ht="12" customHeight="1">
      <c r="B749" s="206" t="s">
        <v>154</v>
      </c>
      <c r="C749" s="207" t="str">
        <f>IF(OR(D721=0,D722="　"),"","G"&amp;MID(LEFT(D722, LEN(D722)-1),4,4)&amp;"、NBR45相当")</f>
        <v>G5-4、NBR45相当</v>
      </c>
      <c r="D749" s="208"/>
      <c r="E749" s="209"/>
      <c r="F749" s="217" t="str">
        <f t="shared" si="29"/>
        <v>n=1</v>
      </c>
      <c r="G749" s="218"/>
      <c r="H749" s="219"/>
      <c r="I749" s="213" t="s">
        <v>13</v>
      </c>
      <c r="J749" s="220" t="str">
        <f>IF(OR(D721=0,D722="　"),"",MID(F749,3,2))</f>
        <v>1</v>
      </c>
      <c r="K749" s="214">
        <f>IFERROR(D721*J749,"")</f>
        <v>10</v>
      </c>
    </row>
    <row r="750" spans="2:11" ht="12" customHeight="1">
      <c r="B750" s="206" t="str" cm="1">
        <f t="array" ref="B750">_xlfn.IFS(OR(D721=0,D722="　"),"",MID(D724,1,3)="アルミ","頭部防錆油",MID(D724,1,3)&lt;&gt;"アルミ","余長キャップ")</f>
        <v>余長キャップ</v>
      </c>
      <c r="C750" s="221" t="str" cm="1">
        <f t="array" ref="C750">_xlfn.IFS(OR(D721=0,D722="　"),"",MID(D724,1,3)="アルミ","PCコートC",MID(D724,1,3)&lt;&gt;"アルミ","TC"&amp;MID(D722,4,1)&amp;"、高密度ポチエチレン")</f>
        <v>TC5、高密度ポチエチレン</v>
      </c>
      <c r="D750" s="208"/>
      <c r="E750" s="209"/>
      <c r="F750" s="217" t="str" cm="1">
        <f t="array" ref="F750">_xlfn.IFS(OR(D721=0,D722="　"),"",MID(D724,1,3)="アルミ","W="&amp;IF(MID(D722,4,1)="5",_xlfn.SWITCH(1*MID(LEFT(D722, LEN(D722)-1),6,2),1,1.9,2,1.3,3,1.3,4,1.3,5,1.6,6,1.6,7,1.6,8,3.1,9,3.1,10,3.1,11,3.1,12,3.1),"G6"&amp;_xlfn.SWITCH(1*MID(LEFT(D722, LEN(D722)-1),6,2),1,1.8,2,1.3,3,1.8,4,1.8,5,3.3,6,3.3,7,3.3,8,9.9,9,9.9,10,9.9,11,9.9,12,9.9,13,9.9,14,9.9)),MID(D724,1,3)&lt;&gt;"アルミ","n=1")</f>
        <v>n=1</v>
      </c>
      <c r="G750" s="218"/>
      <c r="H750" s="219"/>
      <c r="I750" s="213" t="str" cm="1">
        <f t="array" ref="I750">_xlfn.IFS(OR(D721=0,D722="　"),"",MID(D724,1,3)="アルミ","kg",MID(D724,1,3)&lt;&gt;"アルミ","式")</f>
        <v>式</v>
      </c>
      <c r="J750" s="220" t="str">
        <f>IF(OR(D721=0,D722="　"),"",MID(F750,3,4))</f>
        <v>1</v>
      </c>
      <c r="K750" s="214">
        <f>IFERROR(D721*J750,"")</f>
        <v>10</v>
      </c>
    </row>
    <row r="751" spans="2:11" ht="12" customHeight="1">
      <c r="B751" s="206" t="s">
        <v>9</v>
      </c>
      <c r="C751" s="207" t="str" cm="1">
        <f t="array" ref="C751">IF(OR(D721=0,D722="　"),"",IF(MID(D722,4,1)="5","PS5-"&amp;_xlfn.SWITCH(1*MID(LEFT(D722, LEN(D722)-1),6,2),1,"7",2,"2",3,"3",4,"4",5,"7",6,"7",7,"7",8,"12",9,"12",10,"12",11,"12",12,"12"),"PS6-"&amp;_xlfn.SWITCH(1*MID(LEFT(D722, LEN(D722)-1),6,2),1,"7",2,"2",3,"3",4,"4",5,"7",6,"7",7,"7",8,"12",9,"12",10,"12",11,"12",12,"12",13,"14",14,"14"))&amp;"、高密度ポリエチレン")</f>
        <v>PS5-4、高密度ポリエチレン</v>
      </c>
      <c r="D751" s="208"/>
      <c r="E751" s="209"/>
      <c r="F751" s="217" t="str">
        <f>"n=2"</f>
        <v>n=2</v>
      </c>
      <c r="G751" s="218"/>
      <c r="H751" s="219"/>
      <c r="I751" s="213" t="s">
        <v>13</v>
      </c>
      <c r="J751" s="220" t="str">
        <f>IF(OR(D721=0,D722="　"),"",MID(F751,3,2))</f>
        <v>2</v>
      </c>
      <c r="K751" s="214">
        <f>IFERROR(D721*J751,"")</f>
        <v>20</v>
      </c>
    </row>
    <row r="752" spans="2:11" ht="12" customHeight="1">
      <c r="B752" s="206" t="s">
        <v>2</v>
      </c>
      <c r="C752" s="207" t="str" cm="1">
        <f t="array" ref="C752">IF(OR(D721=0,D722="　"),"",IF(MID(D722,4,1)="5","S5-"&amp;_xlfn.IFS(1*MID(LEFT(D722, LEN(D722)-1),6,2)&lt;6,"5",1*MID(LEFT(D722, LEN(D722)-1),6,2)&lt;9,"8",1*MID(LEFT(D722, LEN(D722)-1),6,2)&gt;8,"12"),"S6-"&amp;_xlfn.IFS(1*MID(LEFT(D722, LEN(D722)-1),6,2)&lt;4,"3",1*MID(LEFT(D722, LEN(D722)-1),6,2)&lt;7,"6",1*MID(LEFT(D722, LEN(D722)-1),6,2)&lt;10,"9",1*MID(LEFT(D722, LEN(D722)-1),6,2)&lt;13,"12",1*MID(LEFT(D722, LEN(D722)-1),6,2)&gt;12,"14"))&amp;"、ポリプロピレン")</f>
        <v>S5-5、ポリプロピレン</v>
      </c>
      <c r="D752" s="208"/>
      <c r="E752" s="209"/>
      <c r="F752" s="222" t="s">
        <v>155</v>
      </c>
      <c r="G752" s="211"/>
      <c r="H752" s="212"/>
      <c r="I752" s="213" t="s">
        <v>13</v>
      </c>
      <c r="J752" s="206">
        <f>IF(OR(D721=0,D722="　"),"",MROUND((D730-0.4)/1,1))</f>
        <v>4</v>
      </c>
      <c r="K752" s="214">
        <f>IFERROR(D721*J752,"")</f>
        <v>40</v>
      </c>
    </row>
    <row r="753" spans="2:11" ht="12" customHeight="1">
      <c r="B753" s="206" t="s">
        <v>1</v>
      </c>
      <c r="C753" s="207" t="str" cm="1">
        <f t="array" ref="C753">IF(OR(D721=0,D722="　"),"",IF(MID(D722,4,1)="5","PC5-"&amp;_xlfn.IFS(1*MID(LEFT(D722, LEN(D722)-1),6,2)&lt;5,"4",1*MID(LEFT(D722, LEN(D722)-1),6,2)&lt;8,"7",1*MID(LEFT(D722, LEN(D722)-1),6,2)&lt;10,"9",1*MID(LEFT(D722, LEN(D722)-1),6,2)&gt;9,"12"),"PC6-"&amp;_xlfn.IFS(1*MID(LEFT(D722, LEN(D722)-1),6,2)&lt;4,"3",1*MID(LEFT(D722, LEN(D722)-1),6,2)&lt;8,"7",1*MID(LEFT(D722, LEN(D722)-1),6,2)&lt;13,"12",1*MID(LEFT(D722, LEN(D722)-1),6,2)&gt;12,"14"))&amp;"、ポリプロピレン")</f>
        <v>PC5-4、ポリプロピレン</v>
      </c>
      <c r="D753" s="208"/>
      <c r="E753" s="209"/>
      <c r="F753" s="217" t="str">
        <f>"n=1"</f>
        <v>n=1</v>
      </c>
      <c r="G753" s="218"/>
      <c r="H753" s="219"/>
      <c r="I753" s="213" t="s">
        <v>13</v>
      </c>
      <c r="J753" s="220" t="str">
        <f>IF(OR(D721=0,D722="　"),"",MID(F753,3,2))</f>
        <v>1</v>
      </c>
      <c r="K753" s="214">
        <f>IFERROR(D721*J753,"")</f>
        <v>10</v>
      </c>
    </row>
    <row r="754" spans="2:11" ht="12" customHeight="1">
      <c r="B754" s="206" t="s">
        <v>3</v>
      </c>
      <c r="C754" s="207" t="str">
        <f>IF(OR(D721=0,D722="　"),"","66ナイロン")</f>
        <v>66ナイロン</v>
      </c>
      <c r="D754" s="208"/>
      <c r="E754" s="209"/>
      <c r="F754" s="222" t="s">
        <v>156</v>
      </c>
      <c r="G754" s="211"/>
      <c r="H754" s="212"/>
      <c r="I754" s="213" t="s">
        <v>14</v>
      </c>
      <c r="J754" s="206">
        <f>IF(OR(D721=0,D722="　"),"",2*J752)</f>
        <v>8</v>
      </c>
      <c r="K754" s="214">
        <f>IFERROR(D721*J754,"")</f>
        <v>80</v>
      </c>
    </row>
    <row r="755" spans="2:11" ht="12" customHeight="1">
      <c r="B755" s="206" t="s">
        <v>4</v>
      </c>
      <c r="C755" s="207" t="str">
        <f>IF(OR(D721=0,D722="　"),"","フィラメントテープ")</f>
        <v>フィラメントテープ</v>
      </c>
      <c r="D755" s="208"/>
      <c r="E755" s="209"/>
      <c r="F755" s="222" t="str">
        <f>IF(OR(D721=0,D722="　"),"","L=((自由長+緊張部長)÷@1.0m)×テープ係数"&amp;IF(MID(D722,4,1)="5",_xlfn.IFS(1*MID(LEFT(D722, LEN(D722)-1),6,2)&lt;4,"0.8",1*MID(LEFT(D722, LEN(D722)-1),6,2)&lt;7,"1.0",1*MID(LEFT(D722, LEN(D722)-1),6,2)&lt;10,"1.2",1*MID(LEFT(D722, LEN(D722)-1),6,2)&lt;13,"1.4"),_xlfn.IFS(1*MID(LEFT(D722, LEN(D722)-1),6,2)&lt;4,"1.0",1*MID(LEFT(D722, LEN(D722)-1),6,2)&lt;7,"1.2",1*MID(LEFT(D722, LEN(D722)-1),6,2)&lt;10,"1.4",1*MID(LEFT(D722, LEN(D722)-1),6,2)&lt;15,"1.8")))</f>
        <v>L=((自由長+緊張部長)÷@1.0m)×テープ係数1.0</v>
      </c>
      <c r="G755" s="211"/>
      <c r="H755" s="212"/>
      <c r="I755" s="213" t="s">
        <v>12</v>
      </c>
      <c r="J755" s="223">
        <f>IF(OR(D721=0,D722="　"),"",MROUND((SUM(D731,D732))/1*RIGHT(F755, 3),0.1))</f>
        <v>5.5</v>
      </c>
      <c r="K755" s="214">
        <f>IFERROR(D721*J755,"")</f>
        <v>55</v>
      </c>
    </row>
    <row r="756" spans="2:11" ht="12" customHeight="1">
      <c r="B756" s="206" t="s">
        <v>0</v>
      </c>
      <c r="C756" s="207" t="str">
        <f>IF(OR(D721=0,D722="　"),"","16/20、高密度ポリエチレン")</f>
        <v>16/20、高密度ポリエチレン</v>
      </c>
      <c r="D756" s="208"/>
      <c r="E756" s="209"/>
      <c r="F756" s="210" t="s">
        <v>33</v>
      </c>
      <c r="G756" s="211"/>
      <c r="H756" s="212"/>
      <c r="I756" s="213" t="s">
        <v>12</v>
      </c>
      <c r="J756" s="214">
        <f>IF(OR(D721=0,D722="　"),"",MROUND(D734,0.1))</f>
        <v>9.7000000000000011</v>
      </c>
      <c r="K756" s="214">
        <f>IFERROR(D721*J756,"")</f>
        <v>97.000000000000014</v>
      </c>
    </row>
    <row r="757" spans="2:11" ht="12" customHeight="1">
      <c r="B757" s="206" t="str" cm="1">
        <f t="array" ref="B757">_xlfn.IFS(OR(D721=0,D722="　",MID(D725,1,2)="なし",MID(D725,1,3)="受圧体"),"",MID(D725,1,3)="のり面","のり面角度台座",MID(D725,1,3)="構造物","構造物壁面台座",MID(D725,1,3)="土留め","土留め台座")</f>
        <v>のり面角度台座</v>
      </c>
      <c r="C757" s="210" t="str" cm="1">
        <f t="array" ref="C757">IF(OR(D721=0,D722="　",MID(D725,1,2)="なし",MID(D725,1,3)="受圧体"),"",_xlfn.IFS(MID(D725,1,3)="のり面",IF(1*MID(D722,4,1)=5,_xlfn.IFS(1*MID(LEFT(D722, LEN(D722)-1),6,2)&lt;5,"ST140",1*MID(LEFT(D722, LEN(D722)-1),6,2)&lt;8,"ST170",1*MID(LEFT(D722, LEN(D722)-1),6,2)&lt;13,"ST220"),_xlfn.IFS(1*MID(LEFT(D722, LEN(D722)-1),6,2)&lt;4,"ST140",1*MID(LEFT(D722, LEN(D722)-1),6,2)&lt;5,"ST170",1*MID(LEFT(D722, LEN(D722)-1),6,2)&lt;8,"ST220",1*MID(LEFT(D722, LEN(D722)-1),6,2)&lt;15,"非該当"))&amp;"、FCD450相当、防食："&amp;_xlfn.IFS(MID(D723,1,3)="防食Ⅱ","HDZT77めっき",MID(D723,5,2)="塩害","ｱﾙﾐﾅｲｽﾞ処理",MID(D723,5,2)="酸性","重防食処理"),OR(MID(D725,1,3)="構造物",MID(D725,1,3)="土留め"),D722&amp;"用"&amp;IF(OR(MID(D725,1,3)="構造物",D726="　"),"",D726)&amp;"、防食："&amp;_xlfn.IFS(MID(D723,1,3)="防食Ⅱ","HDZT77めっき",MID(D723,5,2)="塩害","ｱﾙﾐﾅｲｽﾞ処理",MID(D723,5,2)="酸性","重防食処理")))</f>
        <v>ST140、FCD450相当、防食：HDZT77めっき</v>
      </c>
      <c r="D757" s="208"/>
      <c r="E757" s="209"/>
      <c r="F757" s="217" t="str">
        <f>IF(OR(D725="なし",D725="受圧体のみ"),"","n=1")</f>
        <v>n=1</v>
      </c>
      <c r="G757" s="218"/>
      <c r="H757" s="219"/>
      <c r="I757" s="213" t="str">
        <f>IF(OR(D721=0,D722="　",B757=""),"","台")</f>
        <v>台</v>
      </c>
      <c r="J757" s="220" t="str">
        <f>IF(OR(D721=0,D722="　"),"",MID(F757,3,2))</f>
        <v>1</v>
      </c>
      <c r="K757" s="214">
        <f>IFERROR(D721*J757,"")</f>
        <v>10</v>
      </c>
    </row>
    <row r="758" spans="2:11" ht="12" customHeight="1">
      <c r="B758" s="206" t="str">
        <f>IF(OR(D721=0,D722="　",MID(D725,1,3)&lt;&gt;"のり面"),"","補剛板")</f>
        <v>補剛板</v>
      </c>
      <c r="C758" s="210" t="str" cm="1">
        <f t="array" ref="C758">IF(OR(D721=0,D722="　",MID(D725,1,3)&lt;&gt;"のり面"),"",IF(MID(D722,4,1)="5","□"&amp;_xlfn.SWITCH(1*MID(LEFT(D722, LEN(D722)-1),6,2),1,"210φ131t12",2,"210φ131t12",3,"240φ131t12",4,"270φ131t12",5,"280φ143t12",6,"310φ143t16",7,"350φ143t19",8,"350φ180t19",9,"350φ180t19",10,"350φ180t19",11,"350φ180t22",12,"350φ180t22"),"□"&amp;_xlfn.SWITCH(1*MID(LEFT(D722, LEN(D722)-1),6,2),1,"210,φ131,t12",2,"240,φ131,t12",3,"270,φ131,t16",4,"300,φ143,t16",5,"350,φ180,t16",6,"350,φ180,t16",7,"350,φ180,t19",8,"400,φ──,t12",9,"400,φ──,t12",10,"400,φ──,t12",11,"400,φ──,t12",12,"400,φ──,t12",13,"400,φ──,t12",14,"400,φ──,t12"))&amp;"、SS400相当、防食："&amp;_xlfn.IFS(MID(D723,1,3)="防食Ⅱ","HDZT77めっき",MID(D723,5,2)="塩害","ｱﾙﾐﾅｲｽﾞ処理",MID(D723,5,2)="酸性","重防食処理"))</f>
        <v>□270φ131t12、SS400相当、防食：HDZT77めっき</v>
      </c>
      <c r="D758" s="208"/>
      <c r="E758" s="209"/>
      <c r="F758" s="217" t="str">
        <f>IF(OR(D721=0,D722="　",MID(D725,1,3)&lt;&gt;"のり面"),"","n=1")</f>
        <v>n=1</v>
      </c>
      <c r="G758" s="218"/>
      <c r="H758" s="219"/>
      <c r="I758" s="213" t="str">
        <f>IF(OR(D721=0,D722="　",B758="",MID(D725,1,3)&lt;&gt;"のり面"),"","枚")</f>
        <v>枚</v>
      </c>
      <c r="J758" s="220" t="str">
        <f>IF(OR(D721=0,D722="　"),"",MID(F758,3,2))</f>
        <v>1</v>
      </c>
      <c r="K758" s="214">
        <f>IFERROR(D721*J758,"")</f>
        <v>10</v>
      </c>
    </row>
    <row r="759" spans="2:11" ht="12" customHeight="1">
      <c r="B759" s="206" t="str" cm="1">
        <f t="array" ref="B759">_xlfn.IFS(OR(D721=0,D722="　"),"",MID(D724,1,3)="アルミ","",MID(D724,1,3)&lt;&gt;"アルミ","テンドン補修用塗料")</f>
        <v>テンドン補修用塗料</v>
      </c>
      <c r="C759" s="210" t="str" cm="1">
        <f t="array" ref="C759">_xlfn.IFS(OR(D721=0,D722="　"),"",MID(D724,1,3)="アルミ","",MID(D724,1,3)&lt;&gt;"アルミ","エポキシ樹脂")</f>
        <v>エポキシ樹脂</v>
      </c>
      <c r="D759" s="208"/>
      <c r="E759" s="209"/>
      <c r="F759" s="217" t="str" cm="1">
        <f t="array" ref="F759">_xlfn.IFS(OR(D721=0,D722="　"),"",MID(D724,1,3)="アルミ","",MID(D724,1,3)&lt;&gt;"アルミ","W=PC鋼より線本数×"&amp;IF(MID(D722,4,1)="5","0.28","0.40"))</f>
        <v>W=PC鋼より線本数×0.28</v>
      </c>
      <c r="G759" s="218"/>
      <c r="H759" s="219"/>
      <c r="I759" s="213" t="str" cm="1">
        <f t="array" ref="I759">_xlfn.IFS(OR(D721=0,D722="　"),"",MID(D724,1,3)="アルミ","",MID(D724,1,3)&lt;&gt;"アルミ","g")</f>
        <v>g</v>
      </c>
      <c r="J759" s="224" cm="1">
        <f t="array" ref="J759">_xlfn.IFS(OR(D721=0,D722="　"),"",MID(D724,1,3)="アルミ","",MID(D724,1,3)&lt;&gt;"アルミ",MID(LEFT(D722, LEN(D722)-1),6,2)*IF(MID(D722,4,1)="5",0.28,0.4))</f>
        <v>1.1200000000000001</v>
      </c>
      <c r="K759" s="214">
        <f>IFERROR(D721*J759,"")</f>
        <v>11.200000000000001</v>
      </c>
    </row>
    <row r="760" spans="2:11" ht="12" customHeight="1">
      <c r="B760" s="206" t="str" cm="1">
        <f t="array" ref="B760">_xlfn.IFS(OR(D721=0,D722="　"),"",MID(D724,1,3)="アルミ","",MID(D724,1,3)&lt;&gt;"アルミ","長期防錆スプレー")</f>
        <v>長期防錆スプレー</v>
      </c>
      <c r="C760" s="210" t="str" cm="1">
        <f t="array" ref="C760">_xlfn.IFS(OR(D721=0,D722="　"),"",MID(D724,1,3)="アルミ","",MID(D724,1,3)&lt;&gt;"アルミ","防錆オイル")</f>
        <v>防錆オイル</v>
      </c>
      <c r="D760" s="208"/>
      <c r="E760" s="209"/>
      <c r="F760" s="217" t="str" cm="1">
        <f t="array" ref="F760">_xlfn.IFS(OR(D721=0,D722="　"),"",MID(D724,1,3)="アルミ","",MID(D724,1,3)&lt;&gt;"アルミ","n=0.01×(PC鋼より線本数+"&amp;IF(MID(D722,4,1)="5","6","12")&amp;")")</f>
        <v>n=0.01×(PC鋼より線本数+6)</v>
      </c>
      <c r="G760" s="218"/>
      <c r="H760" s="219"/>
      <c r="I760" s="213" t="str" cm="1">
        <f t="array" ref="I760">_xlfn.IFS(OR(D721=0,D722="　"),"",MID(D724,1,3)="アルミ","",MID(D724,1,3)&lt;&gt;"アルミ","缶")</f>
        <v>缶</v>
      </c>
      <c r="J760" s="224" cm="1">
        <f t="array" ref="J760">_xlfn.IFS(OR(D721=0,D722="　"),"",MID(D724,1,3)="アルミ","",MID(D724,1,3)&lt;&gt;"アルミ",0.01*(MID(LEFT(D722, LEN(D722)-1),6,2)+IF(MID(D722,4,1)="5",6,12)))</f>
        <v>0.1</v>
      </c>
      <c r="K760" s="214">
        <f>IFERROR(D721*J760,"")</f>
        <v>1</v>
      </c>
    </row>
    <row r="761" spans="2:11" ht="12" customHeight="1">
      <c r="B761" s="206" t="str">
        <f>IF(OR(D721=0,D722="　",D727="なし"),"","フリーパッカー注入ホース")</f>
        <v/>
      </c>
      <c r="C761" s="207" t="str">
        <f>IF(OR(D721=0,D722="　",B761=""),"","16/20、高密度ポリエチレン")</f>
        <v/>
      </c>
      <c r="D761" s="208"/>
      <c r="E761" s="209"/>
      <c r="F761" s="210" t="str">
        <f>IF(B761="","","L=自由長+緊張部長")</f>
        <v/>
      </c>
      <c r="G761" s="211"/>
      <c r="H761" s="212"/>
      <c r="I761" s="213" t="str">
        <f>IF(OR(D721=0,D722="　",B761=""),"","m")</f>
        <v/>
      </c>
      <c r="J761" s="214" t="str">
        <f>IF(OR(D721=0,D722="　"),"",IF(B761="","",MROUND(D731+D732,0.1)))</f>
        <v/>
      </c>
      <c r="K761" s="214" t="str">
        <f>IFERROR(D721*J761,"")</f>
        <v/>
      </c>
    </row>
    <row r="762" spans="2:11" ht="12" customHeight="1">
      <c r="B762" s="225" t="str">
        <f>IF(OR(D721=0,D722="　",D727="なし"),"","フリーパッカー")</f>
        <v/>
      </c>
      <c r="C762" s="217" t="str" cm="1">
        <f t="array" ref="C762">IF(OR(D721=0,D722="　",B761=""),"",_xlfn.SWITCH(D736,90,"PA-170",115,"PA-200",135,"PA-240",146,"PA-240",165,"PA-350")&amp;"、織布")</f>
        <v/>
      </c>
      <c r="D762" s="208"/>
      <c r="E762" s="209"/>
      <c r="F762" s="226" t="str">
        <f>IF(B762="","","L=自由長+0.5m")</f>
        <v/>
      </c>
      <c r="G762" s="227"/>
      <c r="H762" s="228"/>
      <c r="I762" s="213" t="str">
        <f>IF(OR(D722=0,D723="　",B762=""),"","m")</f>
        <v/>
      </c>
      <c r="J762" s="214" t="str">
        <f>IF(OR(D721=0,D722="　"),"",IF(B762="","",MROUND(D731+0.5,0.1)))</f>
        <v/>
      </c>
      <c r="K762" s="214" t="str">
        <f>IFERROR(D721*J762,"")</f>
        <v/>
      </c>
    </row>
    <row r="763" spans="2:11" ht="12" customHeight="1">
      <c r="B763" s="206" t="str">
        <f>IF(OR(D721=0,D722="　",D727="なし"),"","パッカー取付加工")</f>
        <v/>
      </c>
      <c r="C763" s="207"/>
      <c r="D763" s="208"/>
      <c r="E763" s="209"/>
      <c r="F763" s="217" t="str">
        <f>IF(B763="","","n=1")</f>
        <v/>
      </c>
      <c r="G763" s="218"/>
      <c r="H763" s="219"/>
      <c r="I763" s="213" t="str">
        <f>IF(OR(D723=0,D724="　",B763=""),"","式")</f>
        <v/>
      </c>
      <c r="J763" s="220" t="str">
        <f>IF(OR(D721=0,D722="　"),"",MID(F763,3,2))</f>
        <v/>
      </c>
      <c r="K763" s="206" t="str">
        <f>IFERROR(D721*J763,"")</f>
        <v/>
      </c>
    </row>
    <row r="764" spans="2:11" ht="12" customHeight="1">
      <c r="B764" s="229"/>
      <c r="C764" s="230"/>
      <c r="D764" s="231"/>
      <c r="E764" s="232"/>
      <c r="F764" s="233"/>
      <c r="G764" s="234"/>
      <c r="H764" s="235"/>
      <c r="I764" s="236"/>
      <c r="J764" s="237"/>
      <c r="K764" s="229"/>
    </row>
    <row r="765" spans="2:11" ht="12" customHeight="1">
      <c r="B765" s="238" t="s">
        <v>30</v>
      </c>
      <c r="C765" s="239" t="s">
        <v>31</v>
      </c>
      <c r="D765" s="240"/>
      <c r="E765" s="241"/>
      <c r="F765" s="242" t="s">
        <v>157</v>
      </c>
      <c r="G765" s="243"/>
      <c r="H765" s="244"/>
      <c r="I765" s="245" t="s">
        <v>55</v>
      </c>
      <c r="J765" s="246">
        <f>IFERROR(MROUND(0.25*PI()*(0.001*D736)^2*(D729+D730+D735)*(1+2.2),0.01),"")</f>
        <v>0.17</v>
      </c>
      <c r="K765" s="246">
        <f>IFERROR(D721*J765,"")</f>
        <v>1.7000000000000002</v>
      </c>
    </row>
    <row r="767" spans="2:11" ht="12" customHeight="1">
      <c r="B767" s="247" t="s">
        <v>136</v>
      </c>
      <c r="C767" s="247"/>
      <c r="D767" s="247"/>
      <c r="F767" s="163"/>
      <c r="G767" s="164"/>
      <c r="H767" s="164"/>
    </row>
    <row r="768" spans="2:11" ht="12" customHeight="1">
      <c r="B768" s="15" t="s">
        <v>111</v>
      </c>
      <c r="C768" s="15"/>
      <c r="D768" s="1"/>
      <c r="E768" s="1"/>
      <c r="H768" s="119"/>
      <c r="J768" s="118"/>
    </row>
    <row r="769" spans="2:11" ht="12" customHeight="1">
      <c r="B769" s="165" t="s">
        <v>166</v>
      </c>
      <c r="C769" s="3"/>
      <c r="D769" s="1"/>
      <c r="E769" s="1"/>
      <c r="F769" s="8"/>
      <c r="G769" s="8"/>
      <c r="H769" s="102"/>
      <c r="I769" s="28"/>
      <c r="J769" s="118"/>
    </row>
    <row r="770" spans="2:11" ht="12" customHeight="1">
      <c r="B770" s="15" t="s">
        <v>40</v>
      </c>
      <c r="C770" s="3"/>
      <c r="D770" s="1"/>
      <c r="E770" s="1"/>
      <c r="F770" s="15" t="s">
        <v>54</v>
      </c>
      <c r="G770" s="15"/>
      <c r="H770" s="102"/>
      <c r="I770" s="28"/>
    </row>
    <row r="771" spans="2:11" ht="12" customHeight="1">
      <c r="B771" s="2" t="s">
        <v>53</v>
      </c>
      <c r="C771" s="2" t="s">
        <v>21</v>
      </c>
      <c r="D771" s="2" t="s">
        <v>22</v>
      </c>
      <c r="E771" s="17"/>
      <c r="F771" s="49" t="s">
        <v>41</v>
      </c>
      <c r="G771" s="97" t="s">
        <v>59</v>
      </c>
      <c r="H771" s="49" t="s">
        <v>44</v>
      </c>
      <c r="I771" s="2" t="s">
        <v>21</v>
      </c>
      <c r="J771" s="49" t="s">
        <v>138</v>
      </c>
      <c r="K771" s="2" t="s">
        <v>28</v>
      </c>
    </row>
    <row r="772" spans="2:11" ht="12" customHeight="1">
      <c r="B772" s="166" t="s">
        <v>25</v>
      </c>
      <c r="C772" s="18" t="s">
        <v>24</v>
      </c>
      <c r="D772" s="167">
        <v>10</v>
      </c>
      <c r="E772" s="19"/>
      <c r="F772" s="168" t="s">
        <v>43</v>
      </c>
      <c r="G772" s="169" t="s">
        <v>113</v>
      </c>
      <c r="H772" s="88" t="str" cm="1">
        <f t="array" ref="H772">_xlfn.IFS(AND(F772&lt;&gt;"非削孔",F772&lt;&gt;"無設定"),D787,F772="非削孔",IF(MID(D776,1,3)="土留め","非削孔","箱抜き"),F772="無設定","無設定")</f>
        <v>箱抜き</v>
      </c>
      <c r="I772" s="23" t="str">
        <f>IF(F772="無設定","","m")</f>
        <v>m</v>
      </c>
      <c r="J772" s="170">
        <v>0.5</v>
      </c>
      <c r="K772" s="30">
        <f>D772*J772</f>
        <v>5</v>
      </c>
    </row>
    <row r="773" spans="2:11" ht="12" customHeight="1">
      <c r="B773" s="171" t="s">
        <v>37</v>
      </c>
      <c r="C773" s="50" t="s">
        <v>38</v>
      </c>
      <c r="D773" s="172" t="s">
        <v>159</v>
      </c>
      <c r="E773" s="173"/>
      <c r="F773" s="174" t="s">
        <v>49</v>
      </c>
      <c r="G773" s="169" t="s">
        <v>114</v>
      </c>
      <c r="H773" s="88" cm="1">
        <f t="array" ref="H773">_xlfn.IFS(AND(F773&lt;&gt;"非削孔",F773&lt;&gt;"無設定"),D787,F773="非削孔","箱抜き",F773="無設定","無設定")</f>
        <v>90</v>
      </c>
      <c r="I773" s="23" t="str">
        <f t="shared" ref="I773:I781" si="30">IF(F773="無設定","","m")</f>
        <v>m</v>
      </c>
      <c r="J773" s="170">
        <v>2.64</v>
      </c>
      <c r="K773" s="30">
        <f>D772*J773</f>
        <v>26.400000000000002</v>
      </c>
    </row>
    <row r="774" spans="2:11" ht="12" customHeight="1">
      <c r="B774" s="52" t="s">
        <v>39</v>
      </c>
      <c r="C774" s="91" t="s">
        <v>38</v>
      </c>
      <c r="D774" s="175" t="s">
        <v>60</v>
      </c>
      <c r="E774" s="140"/>
      <c r="F774" s="174" t="s">
        <v>49</v>
      </c>
      <c r="G774" s="169" t="s">
        <v>115</v>
      </c>
      <c r="H774" s="88" cm="1">
        <f t="array" ref="H774">_xlfn.IFS(AND(F774&lt;&gt;"非削孔",F774&lt;&gt;"無設定"),D787,F774="非削孔","箱抜き",F774="無設定","無設定")</f>
        <v>90</v>
      </c>
      <c r="I774" s="23" t="str">
        <f t="shared" si="30"/>
        <v>m</v>
      </c>
      <c r="J774" s="170">
        <v>5.36</v>
      </c>
      <c r="K774" s="30">
        <f>D772*J774</f>
        <v>53.6</v>
      </c>
    </row>
    <row r="775" spans="2:11" ht="12" customHeight="1">
      <c r="B775" s="147" t="s">
        <v>140</v>
      </c>
      <c r="C775" s="91" t="s">
        <v>38</v>
      </c>
      <c r="D775" s="176" t="s">
        <v>141</v>
      </c>
      <c r="E775" s="141"/>
      <c r="F775" s="174" t="s">
        <v>48</v>
      </c>
      <c r="G775" s="169"/>
      <c r="H775" s="88" t="str" cm="1">
        <f t="array" ref="H775">_xlfn.IFS(AND(F775&lt;&gt;"非削孔",F775&lt;&gt;"無設定"),D787,F775="非削孔","箱抜き",F775="無設定","無設定")</f>
        <v>無設定</v>
      </c>
      <c r="I775" s="23" t="str">
        <f t="shared" si="30"/>
        <v/>
      </c>
      <c r="J775" s="170">
        <v>0</v>
      </c>
      <c r="K775" s="30">
        <f>D772*J775</f>
        <v>0</v>
      </c>
    </row>
    <row r="776" spans="2:11" ht="12" customHeight="1">
      <c r="B776" s="147" t="s">
        <v>142</v>
      </c>
      <c r="C776" s="91" t="s">
        <v>38</v>
      </c>
      <c r="D776" s="177" t="s">
        <v>160</v>
      </c>
      <c r="E776" s="21"/>
      <c r="F776" s="174" t="s">
        <v>48</v>
      </c>
      <c r="G776" s="169"/>
      <c r="H776" s="88" t="str" cm="1">
        <f t="array" ref="H776">_xlfn.IFS(AND(F776&lt;&gt;"非削孔",F776&lt;&gt;"無設定"),D787,F776="非削孔","箱抜き",F776="無設定","無設定")</f>
        <v>無設定</v>
      </c>
      <c r="I776" s="23" t="str">
        <f t="shared" si="30"/>
        <v/>
      </c>
      <c r="J776" s="170">
        <v>0</v>
      </c>
      <c r="K776" s="30">
        <f>D772*J776</f>
        <v>0</v>
      </c>
    </row>
    <row r="777" spans="2:11" ht="12" customHeight="1">
      <c r="B777" s="114" t="str">
        <f>IF(MID(D776,1,3)="土留め",D776&amp;"の種類","")</f>
        <v/>
      </c>
      <c r="C777" s="91" t="s">
        <v>38</v>
      </c>
      <c r="D777" s="178" t="s">
        <v>71</v>
      </c>
      <c r="E777" s="21"/>
      <c r="F777" s="174" t="s">
        <v>48</v>
      </c>
      <c r="G777" s="169"/>
      <c r="H777" s="88" t="str" cm="1">
        <f t="array" ref="H777">_xlfn.IFS(AND(F777&lt;&gt;"非削孔",F777&lt;&gt;"無設定"),D787,F777="非削孔","箱抜き",F777="無設定","無設定")</f>
        <v>無設定</v>
      </c>
      <c r="I777" s="23" t="str">
        <f t="shared" si="30"/>
        <v/>
      </c>
      <c r="J777" s="170">
        <v>0</v>
      </c>
      <c r="K777" s="30">
        <f>D772*J777</f>
        <v>0</v>
      </c>
    </row>
    <row r="778" spans="2:11" ht="12" customHeight="1">
      <c r="B778" s="179" t="s">
        <v>50</v>
      </c>
      <c r="C778" s="180" t="s">
        <v>38</v>
      </c>
      <c r="D778" s="181" t="s">
        <v>51</v>
      </c>
      <c r="E778" s="182"/>
      <c r="F778" s="174" t="s">
        <v>48</v>
      </c>
      <c r="G778" s="169"/>
      <c r="H778" s="88" t="str" cm="1">
        <f t="array" ref="H778">_xlfn.IFS(AND(F778&lt;&gt;"非削孔",F778&lt;&gt;"無設定"),D787,F778="非削孔","箱抜き",F778="無設定","無設定")</f>
        <v>無設定</v>
      </c>
      <c r="I778" s="23" t="str">
        <f t="shared" si="30"/>
        <v/>
      </c>
      <c r="J778" s="170">
        <v>0</v>
      </c>
      <c r="K778" s="30">
        <f>D772*J778</f>
        <v>0</v>
      </c>
    </row>
    <row r="779" spans="2:11" ht="12" customHeight="1">
      <c r="B779" s="160" t="str" cm="1">
        <f t="array" ref="B779">"頭部自由長"&amp;_xlfn.IFS(MID(D776,1,2)="なし","",MID(D776,1,3)="受圧体","(受圧体)",MID(D776,1,3)="のり面","(角度台座＋受圧体)",MID(D776,1,3)="構造物","(壁面台座)",MID(D776,1,3)="土留め","(台座+腹起し)")&amp;"　Lfh"</f>
        <v>頭部自由長(角度台座＋受圧体)　Lfh</v>
      </c>
      <c r="C779" s="155" t="s">
        <v>23</v>
      </c>
      <c r="D779" s="183">
        <v>0.5</v>
      </c>
      <c r="E779" s="21"/>
      <c r="F779" s="174" t="s">
        <v>144</v>
      </c>
      <c r="G779" s="169"/>
      <c r="H779" s="88" cm="1">
        <f t="array" ref="H779">_xlfn.IFS(AND(F779&lt;&gt;"非削孔",F779&lt;&gt;"無設定"),D787,F779="非削孔","箱抜き",F779="無設定","無設定")</f>
        <v>90</v>
      </c>
      <c r="I779" s="23" t="str">
        <f t="shared" si="30"/>
        <v>m</v>
      </c>
      <c r="J779" s="170">
        <v>0</v>
      </c>
      <c r="K779" s="30">
        <f>D772*J779</f>
        <v>0</v>
      </c>
    </row>
    <row r="780" spans="2:11" ht="12" customHeight="1">
      <c r="B780" s="22" t="s">
        <v>108</v>
      </c>
      <c r="C780" s="23" t="s">
        <v>23</v>
      </c>
      <c r="D780" s="184">
        <v>4</v>
      </c>
      <c r="E780" s="21"/>
      <c r="F780" s="174" t="s">
        <v>48</v>
      </c>
      <c r="G780" s="169"/>
      <c r="H780" s="88" t="str" cm="1">
        <f t="array" ref="H780">_xlfn.IFS(AND(F780&lt;&gt;"非削孔",F780&lt;&gt;"無設定"),D787,F780="非削孔","箱抜き",F780="無設定","無設定")</f>
        <v>無設定</v>
      </c>
      <c r="I780" s="23" t="str">
        <f t="shared" si="30"/>
        <v/>
      </c>
      <c r="J780" s="170">
        <v>0</v>
      </c>
      <c r="K780" s="30">
        <f>D772*J780</f>
        <v>0</v>
      </c>
    </row>
    <row r="781" spans="2:11" ht="12" customHeight="1">
      <c r="B781" s="157" t="s">
        <v>36</v>
      </c>
      <c r="C781" s="158" t="s">
        <v>23</v>
      </c>
      <c r="D781" s="185">
        <v>4</v>
      </c>
      <c r="F781" s="186" t="str" cm="1">
        <f t="array" ref="F781">INDEX(F772:H780,MATCH("無設定",F772:F780,0)-1,MATCH(F771,F771:H771,0))</f>
        <v>軟　岩</v>
      </c>
      <c r="G781" s="100" t="str" cm="1">
        <f t="array" ref="G781">INDEX(F772:H780,MATCH("無設定",F772:F780,0)-1,MATCH(G771,F771:H771,0))&amp;"　(先端長 L2d)"</f>
        <v>風化岩 CL　(先端長 L2d)</v>
      </c>
      <c r="H781" s="88" cm="1">
        <f t="array" ref="H781">INDEX(F772:H780,MATCH("無設定",F772:F780,0)-1,MATCH(H771,F771:H771,0))</f>
        <v>90</v>
      </c>
      <c r="I781" s="23" t="str">
        <f t="shared" si="30"/>
        <v>m</v>
      </c>
      <c r="J781" s="98">
        <f>D786</f>
        <v>0.25</v>
      </c>
      <c r="K781" s="78">
        <f>IFERROR(D772*J781,"")</f>
        <v>2.5</v>
      </c>
    </row>
    <row r="782" spans="2:11" ht="12" customHeight="1">
      <c r="B782" s="154" t="s">
        <v>145</v>
      </c>
      <c r="C782" s="155" t="s">
        <v>23</v>
      </c>
      <c r="D782" s="187">
        <f>IF(OR(D772=0,D773="　"),"──",SUM(D779:D780))</f>
        <v>4.5</v>
      </c>
      <c r="E782" s="19"/>
      <c r="F782" s="188"/>
      <c r="G782" s="103" t="s">
        <v>124</v>
      </c>
      <c r="H782" s="103"/>
      <c r="I782" s="18" t="s">
        <v>23</v>
      </c>
      <c r="J782" s="74">
        <f>SUMIFS(J772:J781,F772:F781,"&lt;&gt;非削孔",F772:F781,"&lt;&gt;無設定")</f>
        <v>8.25</v>
      </c>
      <c r="K782" s="95">
        <f>SUMIFS(K772:K781,F772:F781,"&lt;&gt;非削孔",F772:F781,"&lt;&gt;無設定")</f>
        <v>82.5</v>
      </c>
    </row>
    <row r="783" spans="2:11" ht="12" customHeight="1">
      <c r="B783" s="146" t="s">
        <v>146</v>
      </c>
      <c r="C783" s="23" t="s">
        <v>23</v>
      </c>
      <c r="D783" s="189" cm="1">
        <f t="array" ref="D783">IF(OR(D772=0,D773="　"),"──",IF(MID(D773,4,1)="5",_xlfn.IFS(1*MID(LEFT(D773, LEN(D773)-1),6,2)&lt;8,1,1*MID(LEFT(D773, LEN(D773)-1),6,2)&lt;13,1.2),_xlfn.IFS(1*MID(LEFT(D773, LEN(D773)-1),6,2)&lt;6,1,1*MID(LEFT(D773, LEN(D773)-1),6,2)&lt;15,1.2)))</f>
        <v>1</v>
      </c>
      <c r="E783" s="19"/>
      <c r="F783" s="190"/>
      <c r="G783" s="104" t="s">
        <v>47</v>
      </c>
      <c r="H783" s="104"/>
      <c r="I783" s="79" t="s">
        <v>46</v>
      </c>
      <c r="J783" s="77" t="str">
        <f>IF(OR(D772=0,D773="　"),"",IF(SUM(D780:D781,D786)=J782,"OK","NG"))</f>
        <v>OK</v>
      </c>
      <c r="K783" s="145" t="str">
        <f>IF(J783&lt;&gt;"NG","──",J782-SUM(D780:D781,D786))</f>
        <v>──</v>
      </c>
    </row>
    <row r="784" spans="2:11" ht="12" customHeight="1">
      <c r="B784" s="22" t="s">
        <v>125</v>
      </c>
      <c r="C784" s="23" t="s">
        <v>35</v>
      </c>
      <c r="D784" s="84">
        <f>IF(OR(D772=0,D773="　"),"──",0.2)</f>
        <v>0.2</v>
      </c>
      <c r="F784" s="191" t="s">
        <v>58</v>
      </c>
      <c r="G784" s="248" t="s">
        <v>110</v>
      </c>
      <c r="H784" s="249"/>
      <c r="I784" s="249"/>
      <c r="J784" s="249"/>
      <c r="K784" s="250"/>
    </row>
    <row r="785" spans="2:11" ht="12" customHeight="1">
      <c r="B785" s="6" t="s">
        <v>147</v>
      </c>
      <c r="C785" s="23" t="s">
        <v>23</v>
      </c>
      <c r="D785" s="60">
        <f>IF(OR(D772=0,D773="　"),"──",SUM(D781:D784))</f>
        <v>9.6999999999999993</v>
      </c>
    </row>
    <row r="786" spans="2:11" ht="12" customHeight="1">
      <c r="B786" s="25" t="s">
        <v>127</v>
      </c>
      <c r="C786" s="26" t="s">
        <v>23</v>
      </c>
      <c r="D786" s="27">
        <f>IF(OR(D772=0,D773="　"),"──",0.25)</f>
        <v>0.25</v>
      </c>
      <c r="F786" s="8"/>
      <c r="G786" s="8"/>
      <c r="H786" s="102"/>
    </row>
    <row r="787" spans="2:11" ht="12" customHeight="1">
      <c r="B787" s="95" t="s">
        <v>123</v>
      </c>
      <c r="C787" s="18" t="s">
        <v>32</v>
      </c>
      <c r="D787" s="192">
        <v>90</v>
      </c>
      <c r="E787" s="193" t="str">
        <f>IF(D787&lt;D788,"NG：削孔径不適合","")</f>
        <v/>
      </c>
      <c r="F787" s="8"/>
      <c r="G787" s="8"/>
      <c r="H787" s="102"/>
    </row>
    <row r="788" spans="2:11" ht="12" customHeight="1">
      <c r="B788" s="25" t="s">
        <v>122</v>
      </c>
      <c r="C788" s="26" t="s">
        <v>32</v>
      </c>
      <c r="D788" s="194" cm="1">
        <f t="array" ref="D788">IF(OR(D772=0,D773="　"),"──",IF(D778="なし",IF(MID(D773,4,1)="5",_xlfn.IFS(1*MID(LEFT(D773, LEN(D773)-1),6,2)&lt;6,90,1*MID(LEFT(D773, LEN(D773)-1),6,2)&lt;9,115,1*MID(LEFT(D773, LEN(D773)-1),6,2)&gt;8,135),_xlfn.IFS(1*MID(LEFT(D773, LEN(D773)-1),6,2)&lt;4,90,1*MID(LEFT(D773, LEN(D773)-1),6,2)&lt;7,115,1*MID(LEFT(D773, LEN(D773)-1),6,2)&lt;10,135,1*MID(LEFT(D773, LEN(D773)-1),6,2)&lt;13,146,1*MID(LEFT(D773, LEN(D773)-1),6,2)&gt;12,165)),IF(MID(D773,4,1)="5",_xlfn.IFS(1*MID(LEFT(D773, LEN(D773)-1),6,2)&lt;3,90,1*MID(LEFT(D773, LEN(D773)-1),6,2)&lt;7,115,1*MID(LEFT(D773, LEN(D773)-1),6,2)&lt;9,135,1*MID(LEFT(D773, LEN(D773)-1),6,2)&gt;8,146),_xlfn.IFS(1*MID(LEFT(D773, LEN(D773)-1),6,2)&lt;3,90,1*MID(LEFT(D773, LEN(D773)-1),6,2)&lt;4,115,1*MID(LEFT(D773, LEN(D773)-1),6,2)&lt;6,135,1*MID(LEFT(D773, LEN(D773)-1),6,2)&lt;10,146,1*MID(LEFT(D773, LEN(D773)-1),6,2)&lt;13,165,1*MID(LEFT(D773, LEN(D773)-1),6,2)&gt;12,216))))</f>
        <v>90</v>
      </c>
      <c r="E788" s="195"/>
      <c r="F788" s="8"/>
      <c r="G788" s="8"/>
      <c r="H788" s="102"/>
    </row>
    <row r="789" spans="2:11" ht="12" customHeight="1">
      <c r="B789" s="20"/>
      <c r="C789" s="46"/>
      <c r="D789" s="117"/>
      <c r="F789" s="8"/>
      <c r="G789" s="8"/>
      <c r="H789" s="102"/>
    </row>
    <row r="790" spans="2:11" ht="12" customHeight="1">
      <c r="B790" s="15" t="str">
        <f>"■"&amp;MID(B767,2,14)</f>
        <v>■本設：EHDアンカーHP工法</v>
      </c>
      <c r="C790" s="3"/>
      <c r="D790" s="1"/>
      <c r="E790" s="1"/>
      <c r="F790" s="8"/>
      <c r="G790" s="8"/>
      <c r="H790" s="102"/>
    </row>
    <row r="791" spans="2:11" ht="12" customHeight="1">
      <c r="B791" s="2" t="s">
        <v>17</v>
      </c>
      <c r="C791" s="43"/>
      <c r="D791" s="196" t="s">
        <v>148</v>
      </c>
      <c r="E791" s="135"/>
      <c r="F791" s="16"/>
      <c r="G791" s="61" t="s">
        <v>42</v>
      </c>
      <c r="H791" s="97"/>
      <c r="I791" s="2" t="s">
        <v>21</v>
      </c>
      <c r="J791" s="49" t="s">
        <v>149</v>
      </c>
      <c r="K791" s="2" t="s">
        <v>28</v>
      </c>
    </row>
    <row r="792" spans="2:11" ht="12" customHeight="1">
      <c r="B792" s="197" t="s">
        <v>150</v>
      </c>
      <c r="C792" s="198" t="str">
        <f>IF(OR(D772=0,D773="　"),"",D773&amp;" ("&amp;MID(LEFT(D773, LEN(D773)-1),6,2)&amp;IF(MID(D773,4,1)="5","φ12.7","φ15.2")&amp;")")</f>
        <v>EHD5-4H (4φ12.7)</v>
      </c>
      <c r="D792" s="199"/>
      <c r="E792" s="200"/>
      <c r="F792" s="201" t="str">
        <f>"W=テンドン長×PC鋼より線本数×"&amp;IF(MID(D773,4,1)="5","0.774","1.101")&amp;"kg/m"</f>
        <v>W=テンドン長×PC鋼より線本数×0.774kg/m</v>
      </c>
      <c r="G792" s="202"/>
      <c r="H792" s="203"/>
      <c r="I792" s="204" t="s">
        <v>11</v>
      </c>
      <c r="J792" s="205">
        <f>IF(OR(D772=0,D773="　"),"",MROUND(D785*MID(LEFT(D773, LEN(D773)-1),6,2)*IF(MID(D773,4,1)="5","0.774","1.101"),0.01))</f>
        <v>30.03</v>
      </c>
      <c r="K792" s="205">
        <f>IFERROR(D772*J792,"")</f>
        <v>300.3</v>
      </c>
    </row>
    <row r="793" spans="2:11" ht="12" customHeight="1">
      <c r="B793" s="206" t="s">
        <v>151</v>
      </c>
      <c r="C793" s="207"/>
      <c r="D793" s="208"/>
      <c r="E793" s="209"/>
      <c r="F793" s="210" t="s">
        <v>33</v>
      </c>
      <c r="G793" s="211"/>
      <c r="H793" s="212"/>
      <c r="I793" s="213" t="s">
        <v>12</v>
      </c>
      <c r="J793" s="214">
        <f>IF(OR(D772=0,D773="　"),"",MROUND(D785,0.1))</f>
        <v>9.7000000000000011</v>
      </c>
      <c r="K793" s="214">
        <f>IFERROR(D772*J793,"")</f>
        <v>97.000000000000014</v>
      </c>
    </row>
    <row r="794" spans="2:11" ht="12" customHeight="1">
      <c r="B794" s="206" t="str">
        <f>"頭部キャップ"</f>
        <v>頭部キャップ</v>
      </c>
      <c r="C794" s="207" t="str" cm="1">
        <f t="array" ref="C794">IF(OR(D772=0,D773="　"),"",IF(MID(D773,4,1)="5",_xlfn.SWITCH(1*MID(LEFT(D773, LEN(D773)-1),6,2),1,"S",2,"S",3,"S",4,"S",5,"M",6,"M",7,"M",8,"L",9,"L",10,"L",11,"L",12,"L"),_xlfn.SWITCH(1*MID(LEFT(D773, LEN(D773)-1),6,2),1,"S",2,"S",3,"M",4,"M",5,"L",6,"L",7,"L",8,"LL",9,"LL",10,"LL",11,"LL",12,"LL",13,"LL",14,"LL"))&amp;"型"&amp;D775&amp;IF(OR(MID(D775,1,2)="透明",MID(D775,1,2)="5窓"),"、PC樹脂","")&amp;"、ｱﾙﾐAC4C相当"&amp;_xlfn.IFS(MID(D774,1,3)="防食Ⅱ","",MID(D774,5,2)="塩害","、防食：ﾀｹｺｰﾄ処理",MID(D774,5,2)="酸性","、防食：重防食処理"))</f>
        <v>S型透明キャップ、PC樹脂、ｱﾙﾐAC4C相当</v>
      </c>
      <c r="D794" s="215"/>
      <c r="E794" s="216"/>
      <c r="F794" s="217" t="str">
        <f t="shared" ref="F794:F800" si="31">"n=1"</f>
        <v>n=1</v>
      </c>
      <c r="G794" s="218"/>
      <c r="H794" s="219"/>
      <c r="I794" s="213" t="s">
        <v>13</v>
      </c>
      <c r="J794" s="220" t="str">
        <f>IF(OR(D772=0,D773="　"),"",MID(F794,3,2))</f>
        <v>1</v>
      </c>
      <c r="K794" s="214">
        <f>IFERROR(D772*J794,"")</f>
        <v>10</v>
      </c>
    </row>
    <row r="795" spans="2:11" ht="12" customHeight="1">
      <c r="B795" s="206" t="s">
        <v>5</v>
      </c>
      <c r="C795" s="207" t="str" cm="1">
        <f t="array" ref="C795">IF(OR(D772=0,D773="　"),"",IF(MID(D773,4,1)="5","G5"&amp;_xlfn.SWITCH(1*MID(LEFT(D773, LEN(D773)-1),6,2),1,"01",2,"02",3,"03",4,"04",5,"07",6,"07",7,"07",8,"09",9,"09",10,"12",11,"12",12,"12"),"G6"&amp;_xlfn.SWITCH(1*MID(LEFT(D773, LEN(D773)-1),6,2),1,"01",2,"02",3,"03",4,"04",5,"07",6,"07",7,"07",8,"09",9,"09",10,"12",11,"12",12,"12",13,"14",14,"14"))&amp;"、S45C相当"&amp;IF(MID(D775,1,3)&lt;&gt;"アルミ","、防食：無電解Niめっき",""))</f>
        <v>G504、S45C相当、防食：無電解Niめっき</v>
      </c>
      <c r="D795" s="208"/>
      <c r="E795" s="209"/>
      <c r="F795" s="217" t="str">
        <f t="shared" si="31"/>
        <v>n=1</v>
      </c>
      <c r="G795" s="218"/>
      <c r="H795" s="219"/>
      <c r="I795" s="213" t="s">
        <v>13</v>
      </c>
      <c r="J795" s="220" t="str">
        <f>IF(OR(D772=0,D773="　"),"",MID(F795,3,2))</f>
        <v>1</v>
      </c>
      <c r="K795" s="214">
        <f>IFERROR(D772*J795,"")</f>
        <v>10</v>
      </c>
    </row>
    <row r="796" spans="2:11" ht="12" customHeight="1">
      <c r="B796" s="206" t="s">
        <v>152</v>
      </c>
      <c r="C796" s="207" t="str" cm="1">
        <f t="array" ref="C796">IF(OR(D772=0,D773="　"),"",IF(MID(D773,4,1)="5","G5"&amp;_xlfn.SWITCH(1*MID(LEFT(D773, LEN(D773)-1),6,2),1,"01",2,"02",3,"03",4,"04",5,"07",6,"07",7,"07",8,"09",9,"09",10,"12",11,"12",12,"12"),"G6"&amp;_xlfn.SWITCH(1*MID(LEFT(D773, LEN(D773)-1),6,2),1,"01",2,"02",3,"03",4,"04",5,"07",6,"07",7,"07",8,"09",9,"09",10,"12",11,"12",12,"12",13,"14",14,"14"))&amp;"、S45C相当"&amp;IF(MID(D775,1,3)&lt;&gt;"アルミ","、防食：無電解Niめっき",""))</f>
        <v>G504、S45C相当、防食：無電解Niめっき</v>
      </c>
      <c r="D796" s="208"/>
      <c r="E796" s="209"/>
      <c r="F796" s="217" t="str">
        <f t="shared" si="31"/>
        <v>n=1</v>
      </c>
      <c r="G796" s="218"/>
      <c r="H796" s="219"/>
      <c r="I796" s="213" t="s">
        <v>13</v>
      </c>
      <c r="J796" s="220" t="str">
        <f>IF(OR(D772=0,D773="　"),"",MID(F796,3,2))</f>
        <v>1</v>
      </c>
      <c r="K796" s="214">
        <f>IFERROR(D772*J796,"")</f>
        <v>10</v>
      </c>
    </row>
    <row r="797" spans="2:11" ht="12" customHeight="1">
      <c r="B797" s="206" t="s">
        <v>7</v>
      </c>
      <c r="C797" s="207" t="str">
        <f>IF(OR(D772=0,D773="　"),"",IF(1*MID(D773,4,1)=5,"ECF12.7","ECF15.2")&amp;"、SCM415相当"&amp;IF(MID(D775,1,3)&lt;&gt;"アルミ","、防食：無電解Niめっき",""))</f>
        <v>ECF12.7、SCM415相当、防食：無電解Niめっき</v>
      </c>
      <c r="D797" s="208"/>
      <c r="E797" s="209"/>
      <c r="F797" s="217" t="str">
        <f t="shared" si="31"/>
        <v>n=1</v>
      </c>
      <c r="G797" s="218"/>
      <c r="H797" s="219"/>
      <c r="I797" s="213" t="s">
        <v>27</v>
      </c>
      <c r="J797" s="220" t="str">
        <f>IF(OR(D772=0,D773="　"),"",MID(F797,3,2))</f>
        <v>1</v>
      </c>
      <c r="K797" s="214">
        <f>IFERROR(D772*J797,"")</f>
        <v>10</v>
      </c>
    </row>
    <row r="798" spans="2:11" ht="12" customHeight="1">
      <c r="B798" s="206" t="s">
        <v>153</v>
      </c>
      <c r="C798" s="207" t="str" cm="1">
        <f t="array" ref="C798">IF(OR(D772=0,D773="　"),"",IF(MID(D773,4,1)="5","G5"&amp;_xlfn.SWITCH(1*MID(LEFT(D773, LEN(D773)-1),6,2),1,"01",2,"04",3,"03",4,"04",5,"07",6,"07",7,"07",8,"12",9,"12",10,"12",11,"12",12,"12"),"G6"&amp;_xlfn.SWITCH(1*MID(LEFT(D773, LEN(D773)-1),6,2),1,"01",2,"02",3,"03",4,"04",5,"07",6,"07",7,"07",8,"12",9,"12",10,"12",11,"12",12,"12",13,"14",14,"14"))&amp;"、SS400相当、防食："&amp;_xlfn.IFS(MID(D774,1,3)="防食Ⅱ","HDZT77めっき",MID(D774,5,2)="塩害","ｱﾙﾐﾅｲｽﾞ処理",MID(D774,5,2)="酸性","重防食処理"))</f>
        <v>G504、SS400相当、防食：HDZT77めっき</v>
      </c>
      <c r="D798" s="208"/>
      <c r="E798" s="209"/>
      <c r="F798" s="217" t="str">
        <f t="shared" si="31"/>
        <v>n=1</v>
      </c>
      <c r="G798" s="218"/>
      <c r="H798" s="219"/>
      <c r="I798" s="213" t="s">
        <v>16</v>
      </c>
      <c r="J798" s="220" t="str">
        <f>IF(OR(D772=0,D773="　"),"",MID(F798,3,2))</f>
        <v>1</v>
      </c>
      <c r="K798" s="214">
        <f>IFERROR(D772*J798,"")</f>
        <v>10</v>
      </c>
    </row>
    <row r="799" spans="2:11" ht="12" customHeight="1">
      <c r="B799" s="206" t="str">
        <f>IF(MID(D776,1,3)="のり面","管付","")&amp;"支圧板"</f>
        <v>管付支圧板</v>
      </c>
      <c r="C799" s="221" t="str" cm="1">
        <f t="array" ref="C799">IF(OR(D772=0,D773="　"),"","PL"&amp;IF(MID(D776,1,3)="のり面","P","")&amp;IF(MID(D773,4,1)="5","5-"&amp;_xlfn.SWITCH(1*MID(LEFT(D773, LEN(D773)-1),6,2),1,"1",2,"2",3,"3",4,"4",5,"5",6,"6",7,"7",8,"9",9,"9",10,"10",11,"11",12,"12"),"6-"&amp;_xlfn.SWITCH(1*MID(LEFT(D773, LEN(D773)-1),6,2),1,"1",2,"2",3,"3",4,"4",5,"6",6,"6",7,"7",8,"8",9,"9",10,"10",11,"11",12,"12",13,"14",14,"14"))&amp;"、SS400相当、防食："&amp;_xlfn.IFS(MID(D774,1,3)="防食Ⅱ","HDZT77めっき",MID(D774,5,2)="塩害","ｱﾙﾐﾅｲｽﾞ処理",MID(D774,5,2)="酸性","重防食処理"))</f>
        <v>PLP5-4、SS400相当、防食：HDZT77めっき</v>
      </c>
      <c r="D799" s="208"/>
      <c r="E799" s="209"/>
      <c r="F799" s="217" t="str">
        <f t="shared" si="31"/>
        <v>n=1</v>
      </c>
      <c r="G799" s="218"/>
      <c r="H799" s="219"/>
      <c r="I799" s="213" t="s">
        <v>16</v>
      </c>
      <c r="J799" s="220" t="str">
        <f>IF(OR(D772=0,D773="　"),"",MID(F799,3,2))</f>
        <v>1</v>
      </c>
      <c r="K799" s="214">
        <f>IFERROR(D772*J799,"")</f>
        <v>10</v>
      </c>
    </row>
    <row r="800" spans="2:11" ht="12" customHeight="1">
      <c r="B800" s="206" t="s">
        <v>154</v>
      </c>
      <c r="C800" s="207" t="str">
        <f>IF(OR(D772=0,D773="　"),"","G"&amp;MID(LEFT(D773, LEN(D773)-1),4,4)&amp;"、NBR45相当")</f>
        <v>G5-4、NBR45相当</v>
      </c>
      <c r="D800" s="208"/>
      <c r="E800" s="209"/>
      <c r="F800" s="217" t="str">
        <f t="shared" si="31"/>
        <v>n=1</v>
      </c>
      <c r="G800" s="218"/>
      <c r="H800" s="219"/>
      <c r="I800" s="213" t="s">
        <v>13</v>
      </c>
      <c r="J800" s="220" t="str">
        <f>IF(OR(D772=0,D773="　"),"",MID(F800,3,2))</f>
        <v>1</v>
      </c>
      <c r="K800" s="214">
        <f>IFERROR(D772*J800,"")</f>
        <v>10</v>
      </c>
    </row>
    <row r="801" spans="2:11" ht="12" customHeight="1">
      <c r="B801" s="206" t="str" cm="1">
        <f t="array" ref="B801">_xlfn.IFS(OR(D772=0,D773="　"),"",MID(D775,1,3)="アルミ","頭部防錆油",MID(D775,1,3)&lt;&gt;"アルミ","余長キャップ")</f>
        <v>余長キャップ</v>
      </c>
      <c r="C801" s="221" t="str" cm="1">
        <f t="array" ref="C801">_xlfn.IFS(OR(D772=0,D773="　"),"",MID(D775,1,3)="アルミ","PCコートC",MID(D775,1,3)&lt;&gt;"アルミ","TC"&amp;MID(D773,4,1)&amp;"、高密度ポチエチレン")</f>
        <v>TC5、高密度ポチエチレン</v>
      </c>
      <c r="D801" s="208"/>
      <c r="E801" s="209"/>
      <c r="F801" s="217" t="str" cm="1">
        <f t="array" ref="F801">_xlfn.IFS(OR(D772=0,D773="　"),"",MID(D775,1,3)="アルミ","W="&amp;IF(MID(D773,4,1)="5",_xlfn.SWITCH(1*MID(LEFT(D773, LEN(D773)-1),6,2),1,1.9,2,1.3,3,1.3,4,1.3,5,1.6,6,1.6,7,1.6,8,3.1,9,3.1,10,3.1,11,3.1,12,3.1),"G6"&amp;_xlfn.SWITCH(1*MID(LEFT(D773, LEN(D773)-1),6,2),1,1.8,2,1.3,3,1.8,4,1.8,5,3.3,6,3.3,7,3.3,8,9.9,9,9.9,10,9.9,11,9.9,12,9.9,13,9.9,14,9.9)),MID(D775,1,3)&lt;&gt;"アルミ","n=1")</f>
        <v>n=1</v>
      </c>
      <c r="G801" s="218"/>
      <c r="H801" s="219"/>
      <c r="I801" s="213" t="str" cm="1">
        <f t="array" ref="I801">_xlfn.IFS(OR(D772=0,D773="　"),"",MID(D775,1,3)="アルミ","kg",MID(D775,1,3)&lt;&gt;"アルミ","式")</f>
        <v>式</v>
      </c>
      <c r="J801" s="220" t="str">
        <f>IF(OR(D772=0,D773="　"),"",MID(F801,3,4))</f>
        <v>1</v>
      </c>
      <c r="K801" s="214">
        <f>IFERROR(D772*J801,"")</f>
        <v>10</v>
      </c>
    </row>
    <row r="802" spans="2:11" ht="12" customHeight="1">
      <c r="B802" s="206" t="s">
        <v>9</v>
      </c>
      <c r="C802" s="207" t="str" cm="1">
        <f t="array" ref="C802">IF(OR(D772=0,D773="　"),"",IF(MID(D773,4,1)="5","PS5-"&amp;_xlfn.SWITCH(1*MID(LEFT(D773, LEN(D773)-1),6,2),1,"7",2,"2",3,"3",4,"4",5,"7",6,"7",7,"7",8,"12",9,"12",10,"12",11,"12",12,"12"),"PS6-"&amp;_xlfn.SWITCH(1*MID(LEFT(D773, LEN(D773)-1),6,2),1,"7",2,"2",3,"3",4,"4",5,"7",6,"7",7,"7",8,"12",9,"12",10,"12",11,"12",12,"12",13,"14",14,"14"))&amp;"、高密度ポリエチレン")</f>
        <v>PS5-4、高密度ポリエチレン</v>
      </c>
      <c r="D802" s="208"/>
      <c r="E802" s="209"/>
      <c r="F802" s="217" t="str">
        <f>"n=2"</f>
        <v>n=2</v>
      </c>
      <c r="G802" s="218"/>
      <c r="H802" s="219"/>
      <c r="I802" s="213" t="s">
        <v>13</v>
      </c>
      <c r="J802" s="220" t="str">
        <f>IF(OR(D772=0,D773="　"),"",MID(F802,3,2))</f>
        <v>2</v>
      </c>
      <c r="K802" s="214">
        <f>IFERROR(D772*J802,"")</f>
        <v>20</v>
      </c>
    </row>
    <row r="803" spans="2:11" ht="12" customHeight="1">
      <c r="B803" s="206" t="s">
        <v>2</v>
      </c>
      <c r="C803" s="207" t="str" cm="1">
        <f t="array" ref="C803">IF(OR(D772=0,D773="　"),"",IF(MID(D773,4,1)="5","S5-"&amp;_xlfn.IFS(1*MID(LEFT(D773, LEN(D773)-1),6,2)&lt;6,"5",1*MID(LEFT(D773, LEN(D773)-1),6,2)&lt;9,"8",1*MID(LEFT(D773, LEN(D773)-1),6,2)&gt;8,"12"),"S6-"&amp;_xlfn.IFS(1*MID(LEFT(D773, LEN(D773)-1),6,2)&lt;4,"3",1*MID(LEFT(D773, LEN(D773)-1),6,2)&lt;7,"6",1*MID(LEFT(D773, LEN(D773)-1),6,2)&lt;10,"9",1*MID(LEFT(D773, LEN(D773)-1),6,2)&lt;13,"12",1*MID(LEFT(D773, LEN(D773)-1),6,2)&gt;12,"14"))&amp;"、ポリプロピレン")</f>
        <v>S5-5、ポリプロピレン</v>
      </c>
      <c r="D803" s="208"/>
      <c r="E803" s="209"/>
      <c r="F803" s="222" t="s">
        <v>155</v>
      </c>
      <c r="G803" s="211"/>
      <c r="H803" s="212"/>
      <c r="I803" s="213" t="s">
        <v>13</v>
      </c>
      <c r="J803" s="206">
        <f>IF(OR(D772=0,D773="　"),"",MROUND((D781-0.4)/1,1))</f>
        <v>4</v>
      </c>
      <c r="K803" s="214">
        <f>IFERROR(D772*J803,"")</f>
        <v>40</v>
      </c>
    </row>
    <row r="804" spans="2:11" ht="12" customHeight="1">
      <c r="B804" s="206" t="s">
        <v>1</v>
      </c>
      <c r="C804" s="207" t="str" cm="1">
        <f t="array" ref="C804">IF(OR(D772=0,D773="　"),"",IF(MID(D773,4,1)="5","PC5-"&amp;_xlfn.IFS(1*MID(LEFT(D773, LEN(D773)-1),6,2)&lt;5,"4",1*MID(LEFT(D773, LEN(D773)-1),6,2)&lt;8,"7",1*MID(LEFT(D773, LEN(D773)-1),6,2)&lt;10,"9",1*MID(LEFT(D773, LEN(D773)-1),6,2)&gt;9,"12"),"PC6-"&amp;_xlfn.IFS(1*MID(LEFT(D773, LEN(D773)-1),6,2)&lt;4,"3",1*MID(LEFT(D773, LEN(D773)-1),6,2)&lt;8,"7",1*MID(LEFT(D773, LEN(D773)-1),6,2)&lt;13,"12",1*MID(LEFT(D773, LEN(D773)-1),6,2)&gt;12,"14"))&amp;"、ポリプロピレン")</f>
        <v>PC5-4、ポリプロピレン</v>
      </c>
      <c r="D804" s="208"/>
      <c r="E804" s="209"/>
      <c r="F804" s="217" t="str">
        <f>"n=1"</f>
        <v>n=1</v>
      </c>
      <c r="G804" s="218"/>
      <c r="H804" s="219"/>
      <c r="I804" s="213" t="s">
        <v>13</v>
      </c>
      <c r="J804" s="220" t="str">
        <f>IF(OR(D772=0,D773="　"),"",MID(F804,3,2))</f>
        <v>1</v>
      </c>
      <c r="K804" s="214">
        <f>IFERROR(D772*J804,"")</f>
        <v>10</v>
      </c>
    </row>
    <row r="805" spans="2:11" ht="12" customHeight="1">
      <c r="B805" s="206" t="s">
        <v>3</v>
      </c>
      <c r="C805" s="207" t="str">
        <f>IF(OR(D772=0,D773="　"),"","66ナイロン")</f>
        <v>66ナイロン</v>
      </c>
      <c r="D805" s="208"/>
      <c r="E805" s="209"/>
      <c r="F805" s="222" t="s">
        <v>156</v>
      </c>
      <c r="G805" s="211"/>
      <c r="H805" s="212"/>
      <c r="I805" s="213" t="s">
        <v>14</v>
      </c>
      <c r="J805" s="206">
        <f>IF(OR(D772=0,D773="　"),"",2*J803)</f>
        <v>8</v>
      </c>
      <c r="K805" s="214">
        <f>IFERROR(D772*J805,"")</f>
        <v>80</v>
      </c>
    </row>
    <row r="806" spans="2:11" ht="12" customHeight="1">
      <c r="B806" s="206" t="s">
        <v>4</v>
      </c>
      <c r="C806" s="207" t="str">
        <f>IF(OR(D772=0,D773="　"),"","フィラメントテープ")</f>
        <v>フィラメントテープ</v>
      </c>
      <c r="D806" s="208"/>
      <c r="E806" s="209"/>
      <c r="F806" s="222" t="str">
        <f>IF(OR(D772=0,D773="　"),"","L=((自由長+緊張部長)÷@1.0m)×テープ係数"&amp;IF(MID(D773,4,1)="5",_xlfn.IFS(1*MID(LEFT(D773, LEN(D773)-1),6,2)&lt;4,"0.8",1*MID(LEFT(D773, LEN(D773)-1),6,2)&lt;7,"1.0",1*MID(LEFT(D773, LEN(D773)-1),6,2)&lt;10,"1.2",1*MID(LEFT(D773, LEN(D773)-1),6,2)&lt;13,"1.4"),_xlfn.IFS(1*MID(LEFT(D773, LEN(D773)-1),6,2)&lt;4,"1.0",1*MID(LEFT(D773, LEN(D773)-1),6,2)&lt;7,"1.2",1*MID(LEFT(D773, LEN(D773)-1),6,2)&lt;10,"1.4",1*MID(LEFT(D773, LEN(D773)-1),6,2)&lt;15,"1.8")))</f>
        <v>L=((自由長+緊張部長)÷@1.0m)×テープ係数1.0</v>
      </c>
      <c r="G806" s="211"/>
      <c r="H806" s="212"/>
      <c r="I806" s="213" t="s">
        <v>12</v>
      </c>
      <c r="J806" s="223">
        <f>IF(OR(D772=0,D773="　"),"",MROUND((SUM(D782,D783))/1*RIGHT(F806, 3),0.1))</f>
        <v>5.5</v>
      </c>
      <c r="K806" s="214">
        <f>IFERROR(D772*J806,"")</f>
        <v>55</v>
      </c>
    </row>
    <row r="807" spans="2:11" ht="12" customHeight="1">
      <c r="B807" s="206" t="s">
        <v>0</v>
      </c>
      <c r="C807" s="207" t="str">
        <f>IF(OR(D772=0,D773="　"),"","16/20、高密度ポリエチレン")</f>
        <v>16/20、高密度ポリエチレン</v>
      </c>
      <c r="D807" s="208"/>
      <c r="E807" s="209"/>
      <c r="F807" s="210" t="s">
        <v>33</v>
      </c>
      <c r="G807" s="211"/>
      <c r="H807" s="212"/>
      <c r="I807" s="213" t="s">
        <v>12</v>
      </c>
      <c r="J807" s="214">
        <f>IF(OR(D772=0,D773="　"),"",MROUND(D785,0.1))</f>
        <v>9.7000000000000011</v>
      </c>
      <c r="K807" s="214">
        <f>IFERROR(D772*J807,"")</f>
        <v>97.000000000000014</v>
      </c>
    </row>
    <row r="808" spans="2:11" ht="12" customHeight="1">
      <c r="B808" s="206" t="str" cm="1">
        <f t="array" ref="B808">_xlfn.IFS(OR(D772=0,D773="　",MID(D776,1,2)="なし",MID(D776,1,3)="受圧体"),"",MID(D776,1,3)="のり面","のり面角度台座",MID(D776,1,3)="構造物","構造物壁面台座",MID(D776,1,3)="土留め","土留め台座")</f>
        <v>のり面角度台座</v>
      </c>
      <c r="C808" s="210" t="str" cm="1">
        <f t="array" ref="C808">IF(OR(D772=0,D773="　",MID(D776,1,2)="なし",MID(D776,1,3)="受圧体"),"",_xlfn.IFS(MID(D776,1,3)="のり面",IF(1*MID(D773,4,1)=5,_xlfn.IFS(1*MID(LEFT(D773, LEN(D773)-1),6,2)&lt;5,"ST140",1*MID(LEFT(D773, LEN(D773)-1),6,2)&lt;8,"ST170",1*MID(LEFT(D773, LEN(D773)-1),6,2)&lt;13,"ST220"),_xlfn.IFS(1*MID(LEFT(D773, LEN(D773)-1),6,2)&lt;4,"ST140",1*MID(LEFT(D773, LEN(D773)-1),6,2)&lt;5,"ST170",1*MID(LEFT(D773, LEN(D773)-1),6,2)&lt;8,"ST220",1*MID(LEFT(D773, LEN(D773)-1),6,2)&lt;15,"非該当"))&amp;"、FCD450相当、防食："&amp;_xlfn.IFS(MID(D774,1,3)="防食Ⅱ","HDZT77めっき",MID(D774,5,2)="塩害","ｱﾙﾐﾅｲｽﾞ処理",MID(D774,5,2)="酸性","重防食処理"),OR(MID(D776,1,3)="構造物",MID(D776,1,3)="土留め"),D773&amp;"用"&amp;IF(OR(MID(D776,1,3)="構造物",D777="　"),"",D777)&amp;"、防食："&amp;_xlfn.IFS(MID(D774,1,3)="防食Ⅱ","HDZT77めっき",MID(D774,5,2)="塩害","ｱﾙﾐﾅｲｽﾞ処理",MID(D774,5,2)="酸性","重防食処理")))</f>
        <v>ST140、FCD450相当、防食：HDZT77めっき</v>
      </c>
      <c r="D808" s="208"/>
      <c r="E808" s="209"/>
      <c r="F808" s="217" t="str">
        <f>IF(OR(D776="なし",D776="受圧体のみ"),"","n=1")</f>
        <v>n=1</v>
      </c>
      <c r="G808" s="218"/>
      <c r="H808" s="219"/>
      <c r="I808" s="213" t="str">
        <f>IF(OR(D772=0,D773="　",B808=""),"","台")</f>
        <v>台</v>
      </c>
      <c r="J808" s="220" t="str">
        <f>IF(OR(D772=0,D773="　"),"",MID(F808,3,2))</f>
        <v>1</v>
      </c>
      <c r="K808" s="214">
        <f>IFERROR(D772*J808,"")</f>
        <v>10</v>
      </c>
    </row>
    <row r="809" spans="2:11" ht="12" customHeight="1">
      <c r="B809" s="206" t="str">
        <f>IF(OR(D772=0,D773="　",MID(D776,1,3)&lt;&gt;"のり面"),"","補剛板")</f>
        <v>補剛板</v>
      </c>
      <c r="C809" s="210" t="str" cm="1">
        <f t="array" ref="C809">IF(OR(D772=0,D773="　",MID(D776,1,3)&lt;&gt;"のり面"),"",IF(MID(D773,4,1)="5","□"&amp;_xlfn.SWITCH(1*MID(LEFT(D773, LEN(D773)-1),6,2),1,"210φ131t12",2,"210φ131t12",3,"240φ131t12",4,"270φ131t12",5,"280φ143t12",6,"310φ143t16",7,"350φ143t19",8,"350φ180t19",9,"350φ180t19",10,"350φ180t19",11,"350φ180t22",12,"350φ180t22"),"□"&amp;_xlfn.SWITCH(1*MID(LEFT(D773, LEN(D773)-1),6,2),1,"210,φ131,t12",2,"240,φ131,t12",3,"270,φ131,t16",4,"300,φ143,t16",5,"350,φ180,t16",6,"350,φ180,t16",7,"350,φ180,t19",8,"400,φ──,t12",9,"400,φ──,t12",10,"400,φ──,t12",11,"400,φ──,t12",12,"400,φ──,t12",13,"400,φ──,t12",14,"400,φ──,t12"))&amp;"、SS400相当、防食："&amp;_xlfn.IFS(MID(D774,1,3)="防食Ⅱ","HDZT77めっき",MID(D774,5,2)="塩害","ｱﾙﾐﾅｲｽﾞ処理",MID(D774,5,2)="酸性","重防食処理"))</f>
        <v>□270φ131t12、SS400相当、防食：HDZT77めっき</v>
      </c>
      <c r="D809" s="208"/>
      <c r="E809" s="209"/>
      <c r="F809" s="217" t="str">
        <f>IF(OR(D772=0,D773="　",MID(D776,1,3)&lt;&gt;"のり面"),"","n=1")</f>
        <v>n=1</v>
      </c>
      <c r="G809" s="218"/>
      <c r="H809" s="219"/>
      <c r="I809" s="213" t="str">
        <f>IF(OR(D772=0,D773="　",B809="",MID(D776,1,3)&lt;&gt;"のり面"),"","枚")</f>
        <v>枚</v>
      </c>
      <c r="J809" s="220" t="str">
        <f>IF(OR(D772=0,D773="　"),"",MID(F809,3,2))</f>
        <v>1</v>
      </c>
      <c r="K809" s="214">
        <f>IFERROR(D772*J809,"")</f>
        <v>10</v>
      </c>
    </row>
    <row r="810" spans="2:11" ht="12" customHeight="1">
      <c r="B810" s="206" t="str" cm="1">
        <f t="array" ref="B810">_xlfn.IFS(OR(D772=0,D773="　"),"",MID(D775,1,3)="アルミ","",MID(D775,1,3)&lt;&gt;"アルミ","テンドン補修用塗料")</f>
        <v>テンドン補修用塗料</v>
      </c>
      <c r="C810" s="210" t="str" cm="1">
        <f t="array" ref="C810">_xlfn.IFS(OR(D772=0,D773="　"),"",MID(D775,1,3)="アルミ","",MID(D775,1,3)&lt;&gt;"アルミ","エポキシ樹脂")</f>
        <v>エポキシ樹脂</v>
      </c>
      <c r="D810" s="208"/>
      <c r="E810" s="209"/>
      <c r="F810" s="217" t="str" cm="1">
        <f t="array" ref="F810">_xlfn.IFS(OR(D772=0,D773="　"),"",MID(D775,1,3)="アルミ","",MID(D775,1,3)&lt;&gt;"アルミ","W=PC鋼より線本数×"&amp;IF(MID(D773,4,1)="5","0.28","0.40"))</f>
        <v>W=PC鋼より線本数×0.28</v>
      </c>
      <c r="G810" s="218"/>
      <c r="H810" s="219"/>
      <c r="I810" s="213" t="str" cm="1">
        <f t="array" ref="I810">_xlfn.IFS(OR(D772=0,D773="　"),"",MID(D775,1,3)="アルミ","",MID(D775,1,3)&lt;&gt;"アルミ","g")</f>
        <v>g</v>
      </c>
      <c r="J810" s="224" cm="1">
        <f t="array" ref="J810">_xlfn.IFS(OR(D772=0,D773="　"),"",MID(D775,1,3)="アルミ","",MID(D775,1,3)&lt;&gt;"アルミ",MID(LEFT(D773, LEN(D773)-1),6,2)*IF(MID(D773,4,1)="5",0.28,0.4))</f>
        <v>1.1200000000000001</v>
      </c>
      <c r="K810" s="214">
        <f>IFERROR(D772*J810,"")</f>
        <v>11.200000000000001</v>
      </c>
    </row>
    <row r="811" spans="2:11" ht="12" customHeight="1">
      <c r="B811" s="206" t="str" cm="1">
        <f t="array" ref="B811">_xlfn.IFS(OR(D772=0,D773="　"),"",MID(D775,1,3)="アルミ","",MID(D775,1,3)&lt;&gt;"アルミ","長期防錆スプレー")</f>
        <v>長期防錆スプレー</v>
      </c>
      <c r="C811" s="210" t="str" cm="1">
        <f t="array" ref="C811">_xlfn.IFS(OR(D772=0,D773="　"),"",MID(D775,1,3)="アルミ","",MID(D775,1,3)&lt;&gt;"アルミ","防錆オイル")</f>
        <v>防錆オイル</v>
      </c>
      <c r="D811" s="208"/>
      <c r="E811" s="209"/>
      <c r="F811" s="217" t="str" cm="1">
        <f t="array" ref="F811">_xlfn.IFS(OR(D772=0,D773="　"),"",MID(D775,1,3)="アルミ","",MID(D775,1,3)&lt;&gt;"アルミ","n=0.01×(PC鋼より線本数+"&amp;IF(MID(D773,4,1)="5","6","12")&amp;")")</f>
        <v>n=0.01×(PC鋼より線本数+6)</v>
      </c>
      <c r="G811" s="218"/>
      <c r="H811" s="219"/>
      <c r="I811" s="213" t="str" cm="1">
        <f t="array" ref="I811">_xlfn.IFS(OR(D772=0,D773="　"),"",MID(D775,1,3)="アルミ","",MID(D775,1,3)&lt;&gt;"アルミ","缶")</f>
        <v>缶</v>
      </c>
      <c r="J811" s="224" cm="1">
        <f t="array" ref="J811">_xlfn.IFS(OR(D772=0,D773="　"),"",MID(D775,1,3)="アルミ","",MID(D775,1,3)&lt;&gt;"アルミ",0.01*(MID(LEFT(D773, LEN(D773)-1),6,2)+IF(MID(D773,4,1)="5",6,12)))</f>
        <v>0.1</v>
      </c>
      <c r="K811" s="214">
        <f>IFERROR(D772*J811,"")</f>
        <v>1</v>
      </c>
    </row>
    <row r="812" spans="2:11" ht="12" customHeight="1">
      <c r="B812" s="206" t="str">
        <f>IF(OR(D772=0,D773="　",D778="なし"),"","フリーパッカー注入ホース")</f>
        <v/>
      </c>
      <c r="C812" s="207" t="str">
        <f>IF(OR(D772=0,D773="　",B812=""),"","16/20、高密度ポリエチレン")</f>
        <v/>
      </c>
      <c r="D812" s="208"/>
      <c r="E812" s="209"/>
      <c r="F812" s="210" t="str">
        <f>IF(B812="","","L=自由長+緊張部長")</f>
        <v/>
      </c>
      <c r="G812" s="211"/>
      <c r="H812" s="212"/>
      <c r="I812" s="213" t="str">
        <f>IF(OR(D772=0,D773="　",B812=""),"","m")</f>
        <v/>
      </c>
      <c r="J812" s="214" t="str">
        <f>IF(OR(D772=0,D773="　"),"",IF(B812="","",MROUND(D782+D783,0.1)))</f>
        <v/>
      </c>
      <c r="K812" s="214" t="str">
        <f>IFERROR(D772*J812,"")</f>
        <v/>
      </c>
    </row>
    <row r="813" spans="2:11" ht="12" customHeight="1">
      <c r="B813" s="225" t="str">
        <f>IF(OR(D772=0,D773="　",D778="なし"),"","フリーパッカー")</f>
        <v/>
      </c>
      <c r="C813" s="217" t="str" cm="1">
        <f t="array" ref="C813">IF(OR(D772=0,D773="　",B812=""),"",_xlfn.SWITCH(D787,90,"PA-170",115,"PA-200",135,"PA-240",146,"PA-240",165,"PA-350")&amp;"、織布")</f>
        <v/>
      </c>
      <c r="D813" s="208"/>
      <c r="E813" s="209"/>
      <c r="F813" s="226" t="str">
        <f>IF(B813="","","L=自由長+0.5m")</f>
        <v/>
      </c>
      <c r="G813" s="227"/>
      <c r="H813" s="228"/>
      <c r="I813" s="213" t="str">
        <f>IF(OR(D773=0,D774="　",B813=""),"","m")</f>
        <v/>
      </c>
      <c r="J813" s="214" t="str">
        <f>IF(OR(D772=0,D773="　"),"",IF(B813="","",MROUND(D782+0.5,0.1)))</f>
        <v/>
      </c>
      <c r="K813" s="214" t="str">
        <f>IFERROR(D772*J813,"")</f>
        <v/>
      </c>
    </row>
    <row r="814" spans="2:11" ht="12" customHeight="1">
      <c r="B814" s="206" t="str">
        <f>IF(OR(D772=0,D773="　",D778="なし"),"","パッカー取付加工")</f>
        <v/>
      </c>
      <c r="C814" s="207"/>
      <c r="D814" s="208"/>
      <c r="E814" s="209"/>
      <c r="F814" s="217" t="str">
        <f>IF(B814="","","n=1")</f>
        <v/>
      </c>
      <c r="G814" s="218"/>
      <c r="H814" s="219"/>
      <c r="I814" s="213" t="str">
        <f>IF(OR(D774=0,D775="　",B814=""),"","式")</f>
        <v/>
      </c>
      <c r="J814" s="220" t="str">
        <f>IF(OR(D772=0,D773="　"),"",MID(F814,3,2))</f>
        <v/>
      </c>
      <c r="K814" s="206" t="str">
        <f>IFERROR(D772*J814,"")</f>
        <v/>
      </c>
    </row>
    <row r="815" spans="2:11" ht="12" customHeight="1">
      <c r="B815" s="229"/>
      <c r="C815" s="230"/>
      <c r="D815" s="231"/>
      <c r="E815" s="232"/>
      <c r="F815" s="233"/>
      <c r="G815" s="234"/>
      <c r="H815" s="235"/>
      <c r="I815" s="236"/>
      <c r="J815" s="237"/>
      <c r="K815" s="229"/>
    </row>
    <row r="816" spans="2:11" ht="12" customHeight="1">
      <c r="B816" s="238" t="s">
        <v>30</v>
      </c>
      <c r="C816" s="239" t="s">
        <v>31</v>
      </c>
      <c r="D816" s="240"/>
      <c r="E816" s="241"/>
      <c r="F816" s="242" t="s">
        <v>157</v>
      </c>
      <c r="G816" s="243"/>
      <c r="H816" s="244"/>
      <c r="I816" s="245" t="s">
        <v>55</v>
      </c>
      <c r="J816" s="246">
        <f>IFERROR(MROUND(0.25*PI()*(0.001*D787)^2*(D780+D781+D786)*(1+2.2),0.01),"")</f>
        <v>0.17</v>
      </c>
      <c r="K816" s="246">
        <f>IFERROR(D772*J816,"")</f>
        <v>1.7000000000000002</v>
      </c>
    </row>
    <row r="818" spans="2:11" ht="12" customHeight="1">
      <c r="B818" s="247" t="s">
        <v>136</v>
      </c>
      <c r="C818" s="247"/>
      <c r="D818" s="247"/>
      <c r="F818" s="163"/>
      <c r="G818" s="164"/>
      <c r="H818" s="164"/>
    </row>
    <row r="819" spans="2:11" ht="12" customHeight="1">
      <c r="B819" s="15" t="s">
        <v>111</v>
      </c>
      <c r="C819" s="15"/>
      <c r="D819" s="1"/>
      <c r="E819" s="1"/>
      <c r="H819" s="119"/>
      <c r="J819" s="118"/>
    </row>
    <row r="820" spans="2:11" ht="12" customHeight="1">
      <c r="B820" s="165" t="s">
        <v>166</v>
      </c>
      <c r="C820" s="3"/>
      <c r="D820" s="1"/>
      <c r="E820" s="1"/>
      <c r="F820" s="8"/>
      <c r="G820" s="8"/>
      <c r="H820" s="102"/>
      <c r="I820" s="28"/>
      <c r="J820" s="118"/>
    </row>
    <row r="821" spans="2:11" ht="12" customHeight="1">
      <c r="B821" s="15" t="s">
        <v>40</v>
      </c>
      <c r="C821" s="3"/>
      <c r="D821" s="1"/>
      <c r="E821" s="1"/>
      <c r="F821" s="15" t="s">
        <v>54</v>
      </c>
      <c r="G821" s="15"/>
      <c r="H821" s="102"/>
      <c r="I821" s="28"/>
    </row>
    <row r="822" spans="2:11" ht="12" customHeight="1">
      <c r="B822" s="2" t="s">
        <v>53</v>
      </c>
      <c r="C822" s="2" t="s">
        <v>21</v>
      </c>
      <c r="D822" s="2" t="s">
        <v>22</v>
      </c>
      <c r="E822" s="17"/>
      <c r="F822" s="49" t="s">
        <v>41</v>
      </c>
      <c r="G822" s="97" t="s">
        <v>59</v>
      </c>
      <c r="H822" s="49" t="s">
        <v>44</v>
      </c>
      <c r="I822" s="2" t="s">
        <v>21</v>
      </c>
      <c r="J822" s="49" t="s">
        <v>138</v>
      </c>
      <c r="K822" s="2" t="s">
        <v>28</v>
      </c>
    </row>
    <row r="823" spans="2:11" ht="12" customHeight="1">
      <c r="B823" s="166" t="s">
        <v>25</v>
      </c>
      <c r="C823" s="18" t="s">
        <v>24</v>
      </c>
      <c r="D823" s="167">
        <v>10</v>
      </c>
      <c r="E823" s="19"/>
      <c r="F823" s="168" t="s">
        <v>43</v>
      </c>
      <c r="G823" s="169" t="s">
        <v>113</v>
      </c>
      <c r="H823" s="88" t="str" cm="1">
        <f t="array" ref="H823">_xlfn.IFS(AND(F823&lt;&gt;"非削孔",F823&lt;&gt;"無設定"),D838,F823="非削孔",IF(MID(D827,1,3)="土留め","非削孔","箱抜き"),F823="無設定","無設定")</f>
        <v>箱抜き</v>
      </c>
      <c r="I823" s="23" t="str">
        <f>IF(F823="無設定","","m")</f>
        <v>m</v>
      </c>
      <c r="J823" s="170">
        <v>0.5</v>
      </c>
      <c r="K823" s="30">
        <f>D823*J823</f>
        <v>5</v>
      </c>
    </row>
    <row r="824" spans="2:11" ht="12" customHeight="1">
      <c r="B824" s="171" t="s">
        <v>37</v>
      </c>
      <c r="C824" s="50" t="s">
        <v>38</v>
      </c>
      <c r="D824" s="172" t="s">
        <v>159</v>
      </c>
      <c r="E824" s="173"/>
      <c r="F824" s="174" t="s">
        <v>49</v>
      </c>
      <c r="G824" s="169" t="s">
        <v>114</v>
      </c>
      <c r="H824" s="88" cm="1">
        <f t="array" ref="H824">_xlfn.IFS(AND(F824&lt;&gt;"非削孔",F824&lt;&gt;"無設定"),D838,F824="非削孔","箱抜き",F824="無設定","無設定")</f>
        <v>90</v>
      </c>
      <c r="I824" s="23" t="str">
        <f t="shared" ref="I824:I832" si="32">IF(F824="無設定","","m")</f>
        <v>m</v>
      </c>
      <c r="J824" s="170">
        <v>2.64</v>
      </c>
      <c r="K824" s="30">
        <f>D823*J824</f>
        <v>26.400000000000002</v>
      </c>
    </row>
    <row r="825" spans="2:11" ht="12" customHeight="1">
      <c r="B825" s="52" t="s">
        <v>39</v>
      </c>
      <c r="C825" s="91" t="s">
        <v>38</v>
      </c>
      <c r="D825" s="175" t="s">
        <v>60</v>
      </c>
      <c r="E825" s="140"/>
      <c r="F825" s="174" t="s">
        <v>49</v>
      </c>
      <c r="G825" s="169" t="s">
        <v>115</v>
      </c>
      <c r="H825" s="88" cm="1">
        <f t="array" ref="H825">_xlfn.IFS(AND(F825&lt;&gt;"非削孔",F825&lt;&gt;"無設定"),D838,F825="非削孔","箱抜き",F825="無設定","無設定")</f>
        <v>90</v>
      </c>
      <c r="I825" s="23" t="str">
        <f t="shared" si="32"/>
        <v>m</v>
      </c>
      <c r="J825" s="170">
        <v>5.36</v>
      </c>
      <c r="K825" s="30">
        <f>D823*J825</f>
        <v>53.6</v>
      </c>
    </row>
    <row r="826" spans="2:11" ht="12" customHeight="1">
      <c r="B826" s="147" t="s">
        <v>140</v>
      </c>
      <c r="C826" s="91" t="s">
        <v>38</v>
      </c>
      <c r="D826" s="176" t="s">
        <v>141</v>
      </c>
      <c r="E826" s="141"/>
      <c r="F826" s="174" t="s">
        <v>48</v>
      </c>
      <c r="G826" s="169"/>
      <c r="H826" s="88" t="str" cm="1">
        <f t="array" ref="H826">_xlfn.IFS(AND(F826&lt;&gt;"非削孔",F826&lt;&gt;"無設定"),D838,F826="非削孔","箱抜き",F826="無設定","無設定")</f>
        <v>無設定</v>
      </c>
      <c r="I826" s="23" t="str">
        <f t="shared" si="32"/>
        <v/>
      </c>
      <c r="J826" s="170">
        <v>0</v>
      </c>
      <c r="K826" s="30">
        <f>D823*J826</f>
        <v>0</v>
      </c>
    </row>
    <row r="827" spans="2:11" ht="12" customHeight="1">
      <c r="B827" s="147" t="s">
        <v>142</v>
      </c>
      <c r="C827" s="91" t="s">
        <v>38</v>
      </c>
      <c r="D827" s="177" t="s">
        <v>160</v>
      </c>
      <c r="E827" s="21"/>
      <c r="F827" s="174" t="s">
        <v>48</v>
      </c>
      <c r="G827" s="169"/>
      <c r="H827" s="88" t="str" cm="1">
        <f t="array" ref="H827">_xlfn.IFS(AND(F827&lt;&gt;"非削孔",F827&lt;&gt;"無設定"),D838,F827="非削孔","箱抜き",F827="無設定","無設定")</f>
        <v>無設定</v>
      </c>
      <c r="I827" s="23" t="str">
        <f t="shared" si="32"/>
        <v/>
      </c>
      <c r="J827" s="170">
        <v>0</v>
      </c>
      <c r="K827" s="30">
        <f>D823*J827</f>
        <v>0</v>
      </c>
    </row>
    <row r="828" spans="2:11" ht="12" customHeight="1">
      <c r="B828" s="114" t="str">
        <f>IF(MID(D827,1,3)="土留め",D827&amp;"の種類","")</f>
        <v/>
      </c>
      <c r="C828" s="91" t="s">
        <v>38</v>
      </c>
      <c r="D828" s="178" t="s">
        <v>71</v>
      </c>
      <c r="E828" s="21"/>
      <c r="F828" s="174" t="s">
        <v>48</v>
      </c>
      <c r="G828" s="169"/>
      <c r="H828" s="88" t="str" cm="1">
        <f t="array" ref="H828">_xlfn.IFS(AND(F828&lt;&gt;"非削孔",F828&lt;&gt;"無設定"),D838,F828="非削孔","箱抜き",F828="無設定","無設定")</f>
        <v>無設定</v>
      </c>
      <c r="I828" s="23" t="str">
        <f t="shared" si="32"/>
        <v/>
      </c>
      <c r="J828" s="170">
        <v>0</v>
      </c>
      <c r="K828" s="30">
        <f>D823*J828</f>
        <v>0</v>
      </c>
    </row>
    <row r="829" spans="2:11" ht="12" customHeight="1">
      <c r="B829" s="179" t="s">
        <v>50</v>
      </c>
      <c r="C829" s="180" t="s">
        <v>38</v>
      </c>
      <c r="D829" s="181" t="s">
        <v>51</v>
      </c>
      <c r="E829" s="182"/>
      <c r="F829" s="174" t="s">
        <v>48</v>
      </c>
      <c r="G829" s="169"/>
      <c r="H829" s="88" t="str" cm="1">
        <f t="array" ref="H829">_xlfn.IFS(AND(F829&lt;&gt;"非削孔",F829&lt;&gt;"無設定"),D838,F829="非削孔","箱抜き",F829="無設定","無設定")</f>
        <v>無設定</v>
      </c>
      <c r="I829" s="23" t="str">
        <f t="shared" si="32"/>
        <v/>
      </c>
      <c r="J829" s="170">
        <v>0</v>
      </c>
      <c r="K829" s="30">
        <f>D823*J829</f>
        <v>0</v>
      </c>
    </row>
    <row r="830" spans="2:11" ht="12" customHeight="1">
      <c r="B830" s="160" t="str" cm="1">
        <f t="array" ref="B830">"頭部自由長"&amp;_xlfn.IFS(MID(D827,1,2)="なし","",MID(D827,1,3)="受圧体","(受圧体)",MID(D827,1,3)="のり面","(角度台座＋受圧体)",MID(D827,1,3)="構造物","(壁面台座)",MID(D827,1,3)="土留め","(台座+腹起し)")&amp;"　Lfh"</f>
        <v>頭部自由長(角度台座＋受圧体)　Lfh</v>
      </c>
      <c r="C830" s="155" t="s">
        <v>23</v>
      </c>
      <c r="D830" s="183">
        <v>0.5</v>
      </c>
      <c r="E830" s="21"/>
      <c r="F830" s="174" t="s">
        <v>144</v>
      </c>
      <c r="G830" s="169"/>
      <c r="H830" s="88" cm="1">
        <f t="array" ref="H830">_xlfn.IFS(AND(F830&lt;&gt;"非削孔",F830&lt;&gt;"無設定"),D838,F830="非削孔","箱抜き",F830="無設定","無設定")</f>
        <v>90</v>
      </c>
      <c r="I830" s="23" t="str">
        <f t="shared" si="32"/>
        <v>m</v>
      </c>
      <c r="J830" s="170">
        <v>0</v>
      </c>
      <c r="K830" s="30">
        <f>D823*J830</f>
        <v>0</v>
      </c>
    </row>
    <row r="831" spans="2:11" ht="12" customHeight="1">
      <c r="B831" s="22" t="s">
        <v>108</v>
      </c>
      <c r="C831" s="23" t="s">
        <v>23</v>
      </c>
      <c r="D831" s="184">
        <v>4</v>
      </c>
      <c r="E831" s="21"/>
      <c r="F831" s="174" t="s">
        <v>48</v>
      </c>
      <c r="G831" s="169"/>
      <c r="H831" s="88" t="str" cm="1">
        <f t="array" ref="H831">_xlfn.IFS(AND(F831&lt;&gt;"非削孔",F831&lt;&gt;"無設定"),D838,F831="非削孔","箱抜き",F831="無設定","無設定")</f>
        <v>無設定</v>
      </c>
      <c r="I831" s="23" t="str">
        <f t="shared" si="32"/>
        <v/>
      </c>
      <c r="J831" s="170">
        <v>0</v>
      </c>
      <c r="K831" s="30">
        <f>D823*J831</f>
        <v>0</v>
      </c>
    </row>
    <row r="832" spans="2:11" ht="12" customHeight="1">
      <c r="B832" s="157" t="s">
        <v>36</v>
      </c>
      <c r="C832" s="158" t="s">
        <v>23</v>
      </c>
      <c r="D832" s="185">
        <v>4</v>
      </c>
      <c r="F832" s="186" t="str" cm="1">
        <f t="array" ref="F832">INDEX(F823:H831,MATCH("無設定",F823:F831,0)-1,MATCH(F822,F822:H822,0))</f>
        <v>軟　岩</v>
      </c>
      <c r="G832" s="100" t="str" cm="1">
        <f t="array" ref="G832">INDEX(F823:H831,MATCH("無設定",F823:F831,0)-1,MATCH(G822,F822:H822,0))&amp;"　(先端長 L2d)"</f>
        <v>風化岩 CL　(先端長 L2d)</v>
      </c>
      <c r="H832" s="88" cm="1">
        <f t="array" ref="H832">INDEX(F823:H831,MATCH("無設定",F823:F831,0)-1,MATCH(H822,F822:H822,0))</f>
        <v>90</v>
      </c>
      <c r="I832" s="23" t="str">
        <f t="shared" si="32"/>
        <v>m</v>
      </c>
      <c r="J832" s="98">
        <f>D837</f>
        <v>0.25</v>
      </c>
      <c r="K832" s="78">
        <f>IFERROR(D823*J832,"")</f>
        <v>2.5</v>
      </c>
    </row>
    <row r="833" spans="2:11" ht="12" customHeight="1">
      <c r="B833" s="154" t="s">
        <v>145</v>
      </c>
      <c r="C833" s="155" t="s">
        <v>23</v>
      </c>
      <c r="D833" s="187">
        <f>IF(OR(D823=0,D824="　"),"──",SUM(D830:D831))</f>
        <v>4.5</v>
      </c>
      <c r="E833" s="19"/>
      <c r="F833" s="188"/>
      <c r="G833" s="75" t="s">
        <v>124</v>
      </c>
      <c r="H833" s="103"/>
      <c r="I833" s="18" t="s">
        <v>23</v>
      </c>
      <c r="J833" s="74">
        <f>SUMIFS(J823:J832,F823:F832,"&lt;&gt;非削孔",F823:F832,"&lt;&gt;無設定")</f>
        <v>8.25</v>
      </c>
      <c r="K833" s="95">
        <f>SUMIFS(K823:K832,F823:F832,"&lt;&gt;非削孔",F823:F832,"&lt;&gt;無設定")</f>
        <v>82.5</v>
      </c>
    </row>
    <row r="834" spans="2:11" ht="12" customHeight="1">
      <c r="B834" s="146" t="s">
        <v>146</v>
      </c>
      <c r="C834" s="23" t="s">
        <v>23</v>
      </c>
      <c r="D834" s="189" cm="1">
        <f t="array" ref="D834">IF(OR(D823=0,D824="　"),"──",IF(MID(D824,4,1)="5",_xlfn.IFS(1*MID(LEFT(D824, LEN(D824)-1),6,2)&lt;8,1,1*MID(LEFT(D824, LEN(D824)-1),6,2)&lt;13,1.2),_xlfn.IFS(1*MID(LEFT(D824, LEN(D824)-1),6,2)&lt;6,1,1*MID(LEFT(D824, LEN(D824)-1),6,2)&lt;15,1.2)))</f>
        <v>1</v>
      </c>
      <c r="E834" s="19"/>
      <c r="F834" s="190"/>
      <c r="G834" s="76" t="s">
        <v>47</v>
      </c>
      <c r="H834" s="104"/>
      <c r="I834" s="79" t="s">
        <v>46</v>
      </c>
      <c r="J834" s="77" t="str">
        <f>IF(OR(D823=0,D824="　"),"",IF(SUM(D831:D832,D837)=J833,"OK","NG"))</f>
        <v>OK</v>
      </c>
      <c r="K834" s="145" t="str">
        <f>IF(J834&lt;&gt;"NG","──",J833-SUM(D831:D832,D837))</f>
        <v>──</v>
      </c>
    </row>
    <row r="835" spans="2:11" ht="12" customHeight="1">
      <c r="B835" s="22" t="s">
        <v>125</v>
      </c>
      <c r="C835" s="23" t="s">
        <v>35</v>
      </c>
      <c r="D835" s="84">
        <f>IF(OR(D823=0,D824="　"),"──",0.2)</f>
        <v>0.2</v>
      </c>
      <c r="F835" s="191" t="s">
        <v>58</v>
      </c>
      <c r="G835" s="248" t="s">
        <v>110</v>
      </c>
      <c r="H835" s="249"/>
      <c r="I835" s="249"/>
      <c r="J835" s="249"/>
      <c r="K835" s="250"/>
    </row>
    <row r="836" spans="2:11" ht="12" customHeight="1">
      <c r="B836" s="6" t="s">
        <v>147</v>
      </c>
      <c r="C836" s="23" t="s">
        <v>23</v>
      </c>
      <c r="D836" s="60">
        <f>IF(OR(D823=0,D824="　"),"──",SUM(D832:D835))</f>
        <v>9.6999999999999993</v>
      </c>
    </row>
    <row r="837" spans="2:11" ht="12" customHeight="1">
      <c r="B837" s="25" t="s">
        <v>127</v>
      </c>
      <c r="C837" s="26" t="s">
        <v>23</v>
      </c>
      <c r="D837" s="27">
        <f>IF(OR(D823=0,D824="　"),"──",0.25)</f>
        <v>0.25</v>
      </c>
      <c r="F837" s="8"/>
      <c r="G837" s="8"/>
      <c r="H837" s="102"/>
    </row>
    <row r="838" spans="2:11" ht="12" customHeight="1">
      <c r="B838" s="95" t="s">
        <v>123</v>
      </c>
      <c r="C838" s="18" t="s">
        <v>32</v>
      </c>
      <c r="D838" s="192">
        <v>90</v>
      </c>
      <c r="E838" s="193" t="str">
        <f>IF(D838&lt;D839,"NG：削孔径不適合","")</f>
        <v/>
      </c>
      <c r="F838" s="8"/>
      <c r="G838" s="8"/>
      <c r="H838" s="102"/>
    </row>
    <row r="839" spans="2:11" ht="12" customHeight="1">
      <c r="B839" s="25" t="s">
        <v>122</v>
      </c>
      <c r="C839" s="26" t="s">
        <v>32</v>
      </c>
      <c r="D839" s="194" cm="1">
        <f t="array" ref="D839">IF(OR(D823=0,D824="　"),"──",IF(D829="なし",IF(MID(D824,4,1)="5",_xlfn.IFS(1*MID(LEFT(D824, LEN(D824)-1),6,2)&lt;6,90,1*MID(LEFT(D824, LEN(D824)-1),6,2)&lt;9,115,1*MID(LEFT(D824, LEN(D824)-1),6,2)&gt;8,135),_xlfn.IFS(1*MID(LEFT(D824, LEN(D824)-1),6,2)&lt;4,90,1*MID(LEFT(D824, LEN(D824)-1),6,2)&lt;7,115,1*MID(LEFT(D824, LEN(D824)-1),6,2)&lt;10,135,1*MID(LEFT(D824, LEN(D824)-1),6,2)&lt;13,146,1*MID(LEFT(D824, LEN(D824)-1),6,2)&gt;12,165)),IF(MID(D824,4,1)="5",_xlfn.IFS(1*MID(LEFT(D824, LEN(D824)-1),6,2)&lt;3,90,1*MID(LEFT(D824, LEN(D824)-1),6,2)&lt;7,115,1*MID(LEFT(D824, LEN(D824)-1),6,2)&lt;9,135,1*MID(LEFT(D824, LEN(D824)-1),6,2)&gt;8,146),_xlfn.IFS(1*MID(LEFT(D824, LEN(D824)-1),6,2)&lt;3,90,1*MID(LEFT(D824, LEN(D824)-1),6,2)&lt;4,115,1*MID(LEFT(D824, LEN(D824)-1),6,2)&lt;6,135,1*MID(LEFT(D824, LEN(D824)-1),6,2)&lt;10,146,1*MID(LEFT(D824, LEN(D824)-1),6,2)&lt;13,165,1*MID(LEFT(D824, LEN(D824)-1),6,2)&gt;12,216))))</f>
        <v>90</v>
      </c>
      <c r="E839" s="195"/>
      <c r="F839" s="8"/>
      <c r="G839" s="8"/>
      <c r="H839" s="102"/>
    </row>
    <row r="840" spans="2:11" ht="12" customHeight="1">
      <c r="B840" s="20"/>
      <c r="C840" s="46"/>
      <c r="D840" s="117"/>
      <c r="F840" s="8"/>
      <c r="G840" s="8"/>
      <c r="H840" s="102"/>
    </row>
    <row r="841" spans="2:11" ht="12" customHeight="1">
      <c r="B841" s="247" t="s">
        <v>136</v>
      </c>
      <c r="C841" s="247"/>
      <c r="D841" s="247"/>
      <c r="E841" s="1"/>
      <c r="F841" s="8"/>
      <c r="G841" s="8"/>
      <c r="H841" s="102"/>
    </row>
    <row r="842" spans="2:11" ht="12" customHeight="1">
      <c r="B842" s="2" t="s">
        <v>17</v>
      </c>
      <c r="C842" s="43"/>
      <c r="D842" s="196" t="s">
        <v>148</v>
      </c>
      <c r="E842" s="135"/>
      <c r="F842" s="16"/>
      <c r="G842" s="61" t="s">
        <v>42</v>
      </c>
      <c r="H842" s="97"/>
      <c r="I842" s="2" t="s">
        <v>21</v>
      </c>
      <c r="J842" s="49" t="s">
        <v>149</v>
      </c>
      <c r="K842" s="2" t="s">
        <v>28</v>
      </c>
    </row>
    <row r="843" spans="2:11" ht="12" customHeight="1">
      <c r="B843" s="197" t="s">
        <v>150</v>
      </c>
      <c r="C843" s="198" t="str">
        <f>IF(OR(D823=0,D824="　"),"",D824&amp;" ("&amp;MID(LEFT(D824, LEN(D824)-1),6,2)&amp;IF(MID(D824,4,1)="5","φ12.7","φ15.2")&amp;")")</f>
        <v>EHD5-4H (4φ12.7)</v>
      </c>
      <c r="D843" s="199"/>
      <c r="E843" s="200"/>
      <c r="F843" s="201" t="str">
        <f>"W=テンドン長×PC鋼より線本数×"&amp;IF(MID(D824,4,1)="5","0.774","1.101")&amp;"kg/m"</f>
        <v>W=テンドン長×PC鋼より線本数×0.774kg/m</v>
      </c>
      <c r="G843" s="202"/>
      <c r="H843" s="203"/>
      <c r="I843" s="204" t="s">
        <v>11</v>
      </c>
      <c r="J843" s="205">
        <f>IF(OR(D823=0,D824="　"),"",MROUND(D836*MID(LEFT(D824, LEN(D824)-1),6,2)*IF(MID(D824,4,1)="5","0.774","1.101"),0.01))</f>
        <v>30.03</v>
      </c>
      <c r="K843" s="205">
        <f>IFERROR(D823*J843,"")</f>
        <v>300.3</v>
      </c>
    </row>
    <row r="844" spans="2:11" ht="12" customHeight="1">
      <c r="B844" s="206" t="s">
        <v>151</v>
      </c>
      <c r="C844" s="207"/>
      <c r="D844" s="208"/>
      <c r="E844" s="209"/>
      <c r="F844" s="210" t="s">
        <v>33</v>
      </c>
      <c r="G844" s="211"/>
      <c r="H844" s="212"/>
      <c r="I844" s="213" t="s">
        <v>12</v>
      </c>
      <c r="J844" s="214">
        <f>IF(OR(D823=0,D824="　"),"",MROUND(D836,0.1))</f>
        <v>9.7000000000000011</v>
      </c>
      <c r="K844" s="214">
        <f>IFERROR(D823*J844,"")</f>
        <v>97.000000000000014</v>
      </c>
    </row>
    <row r="845" spans="2:11" ht="12" customHeight="1">
      <c r="B845" s="206" t="str">
        <f>"頭部キャップ"</f>
        <v>頭部キャップ</v>
      </c>
      <c r="C845" s="207" t="str" cm="1">
        <f t="array" ref="C845">IF(OR(D823=0,D824="　"),"",IF(MID(D824,4,1)="5",_xlfn.SWITCH(1*MID(LEFT(D824, LEN(D824)-1),6,2),1,"S",2,"S",3,"S",4,"S",5,"M",6,"M",7,"M",8,"L",9,"L",10,"L",11,"L",12,"L"),_xlfn.SWITCH(1*MID(LEFT(D824, LEN(D824)-1),6,2),1,"S",2,"S",3,"M",4,"M",5,"L",6,"L",7,"L",8,"LL",9,"LL",10,"LL",11,"LL",12,"LL",13,"LL",14,"LL"))&amp;"型"&amp;D826&amp;IF(OR(MID(D826,1,2)="透明",MID(D826,1,2)="5窓"),"、PC樹脂","")&amp;"、ｱﾙﾐAC4C相当"&amp;_xlfn.IFS(MID(D825,1,3)="防食Ⅱ","",MID(D825,5,2)="塩害","、防食：ﾀｹｺｰﾄ処理",MID(D825,5,2)="酸性","、防食：重防食処理"))</f>
        <v>S型透明キャップ、PC樹脂、ｱﾙﾐAC4C相当</v>
      </c>
      <c r="D845" s="215"/>
      <c r="E845" s="216"/>
      <c r="F845" s="217" t="str">
        <f t="shared" ref="F845:F851" si="33">"n=1"</f>
        <v>n=1</v>
      </c>
      <c r="G845" s="218"/>
      <c r="H845" s="219"/>
      <c r="I845" s="213" t="s">
        <v>13</v>
      </c>
      <c r="J845" s="220" t="str">
        <f>IF(OR(D823=0,D824="　"),"",MID(F845,3,2))</f>
        <v>1</v>
      </c>
      <c r="K845" s="214">
        <f>IFERROR(D823*J845,"")</f>
        <v>10</v>
      </c>
    </row>
    <row r="846" spans="2:11" ht="12" customHeight="1">
      <c r="B846" s="206" t="s">
        <v>5</v>
      </c>
      <c r="C846" s="207" t="str" cm="1">
        <f t="array" ref="C846">IF(OR(D823=0,D824="　"),"",IF(MID(D824,4,1)="5","G5"&amp;_xlfn.SWITCH(1*MID(LEFT(D824, LEN(D824)-1),6,2),1,"01",2,"02",3,"03",4,"04",5,"07",6,"07",7,"07",8,"09",9,"09",10,"12",11,"12",12,"12"),"G6"&amp;_xlfn.SWITCH(1*MID(LEFT(D824, LEN(D824)-1),6,2),1,"01",2,"02",3,"03",4,"04",5,"07",6,"07",7,"07",8,"09",9,"09",10,"12",11,"12",12,"12",13,"14",14,"14"))&amp;"、S45C相当"&amp;IF(MID(D826,1,3)&lt;&gt;"アルミ","、防食：無電解Niめっき",""))</f>
        <v>G504、S45C相当、防食：無電解Niめっき</v>
      </c>
      <c r="D846" s="208"/>
      <c r="E846" s="209"/>
      <c r="F846" s="217" t="str">
        <f t="shared" si="33"/>
        <v>n=1</v>
      </c>
      <c r="G846" s="218"/>
      <c r="H846" s="219"/>
      <c r="I846" s="213" t="s">
        <v>13</v>
      </c>
      <c r="J846" s="220" t="str">
        <f>IF(OR(D823=0,D824="　"),"",MID(F846,3,2))</f>
        <v>1</v>
      </c>
      <c r="K846" s="214">
        <f>IFERROR(D823*J846,"")</f>
        <v>10</v>
      </c>
    </row>
    <row r="847" spans="2:11" ht="12" customHeight="1">
      <c r="B847" s="206" t="s">
        <v>152</v>
      </c>
      <c r="C847" s="207" t="str" cm="1">
        <f t="array" ref="C847">IF(OR(D823=0,D824="　"),"",IF(MID(D824,4,1)="5","G5"&amp;_xlfn.SWITCH(1*MID(LEFT(D824, LEN(D824)-1),6,2),1,"01",2,"02",3,"03",4,"04",5,"07",6,"07",7,"07",8,"09",9,"09",10,"12",11,"12",12,"12"),"G6"&amp;_xlfn.SWITCH(1*MID(LEFT(D824, LEN(D824)-1),6,2),1,"01",2,"02",3,"03",4,"04",5,"07",6,"07",7,"07",8,"09",9,"09",10,"12",11,"12",12,"12",13,"14",14,"14"))&amp;"、S45C相当"&amp;IF(MID(D826,1,3)&lt;&gt;"アルミ","、防食：無電解Niめっき",""))</f>
        <v>G504、S45C相当、防食：無電解Niめっき</v>
      </c>
      <c r="D847" s="208"/>
      <c r="E847" s="209"/>
      <c r="F847" s="217" t="str">
        <f t="shared" si="33"/>
        <v>n=1</v>
      </c>
      <c r="G847" s="218"/>
      <c r="H847" s="219"/>
      <c r="I847" s="213" t="s">
        <v>13</v>
      </c>
      <c r="J847" s="220" t="str">
        <f>IF(OR(D823=0,D824="　"),"",MID(F847,3,2))</f>
        <v>1</v>
      </c>
      <c r="K847" s="214">
        <f>IFERROR(D823*J847,"")</f>
        <v>10</v>
      </c>
    </row>
    <row r="848" spans="2:11" ht="12" customHeight="1">
      <c r="B848" s="206" t="s">
        <v>7</v>
      </c>
      <c r="C848" s="207" t="str">
        <f>IF(OR(D823=0,D824="　"),"",IF(1*MID(D824,4,1)=5,"ECF12.7","ECF15.2")&amp;"、SCM415相当"&amp;IF(MID(D826,1,3)&lt;&gt;"アルミ","、防食：無電解Niめっき",""))</f>
        <v>ECF12.7、SCM415相当、防食：無電解Niめっき</v>
      </c>
      <c r="D848" s="208"/>
      <c r="E848" s="209"/>
      <c r="F848" s="217" t="str">
        <f t="shared" si="33"/>
        <v>n=1</v>
      </c>
      <c r="G848" s="218"/>
      <c r="H848" s="219"/>
      <c r="I848" s="213" t="s">
        <v>27</v>
      </c>
      <c r="J848" s="220" t="str">
        <f>IF(OR(D823=0,D824="　"),"",MID(F848,3,2))</f>
        <v>1</v>
      </c>
      <c r="K848" s="214">
        <f>IFERROR(D823*J848,"")</f>
        <v>10</v>
      </c>
    </row>
    <row r="849" spans="2:11" ht="12" customHeight="1">
      <c r="B849" s="206" t="s">
        <v>153</v>
      </c>
      <c r="C849" s="207" t="str" cm="1">
        <f t="array" ref="C849">IF(OR(D823=0,D824="　"),"",IF(MID(D824,4,1)="5","G5"&amp;_xlfn.SWITCH(1*MID(LEFT(D824, LEN(D824)-1),6,2),1,"01",2,"04",3,"03",4,"04",5,"07",6,"07",7,"07",8,"12",9,"12",10,"12",11,"12",12,"12"),"G6"&amp;_xlfn.SWITCH(1*MID(LEFT(D824, LEN(D824)-1),6,2),1,"01",2,"02",3,"03",4,"04",5,"07",6,"07",7,"07",8,"12",9,"12",10,"12",11,"12",12,"12",13,"14",14,"14"))&amp;"、SS400相当、防食："&amp;_xlfn.IFS(MID(D825,1,3)="防食Ⅱ","HDZT77めっき",MID(D825,5,2)="塩害","ｱﾙﾐﾅｲｽﾞ処理",MID(D825,5,2)="酸性","重防食処理"))</f>
        <v>G504、SS400相当、防食：HDZT77めっき</v>
      </c>
      <c r="D849" s="208"/>
      <c r="E849" s="209"/>
      <c r="F849" s="217" t="str">
        <f t="shared" si="33"/>
        <v>n=1</v>
      </c>
      <c r="G849" s="218"/>
      <c r="H849" s="219"/>
      <c r="I849" s="213" t="s">
        <v>16</v>
      </c>
      <c r="J849" s="220" t="str">
        <f>IF(OR(D823=0,D824="　"),"",MID(F849,3,2))</f>
        <v>1</v>
      </c>
      <c r="K849" s="214">
        <f>IFERROR(D823*J849,"")</f>
        <v>10</v>
      </c>
    </row>
    <row r="850" spans="2:11" ht="12" customHeight="1">
      <c r="B850" s="206" t="str">
        <f>IF(MID(D827,1,3)="のり面","管付","")&amp;"支圧板"</f>
        <v>管付支圧板</v>
      </c>
      <c r="C850" s="221" t="str" cm="1">
        <f t="array" ref="C850">IF(OR(D823=0,D824="　"),"","PL"&amp;IF(MID(D827,1,3)="のり面","P","")&amp;IF(MID(D824,4,1)="5","5-"&amp;_xlfn.SWITCH(1*MID(LEFT(D824, LEN(D824)-1),6,2),1,"1",2,"2",3,"3",4,"4",5,"5",6,"6",7,"7",8,"9",9,"9",10,"10",11,"11",12,"12"),"6-"&amp;_xlfn.SWITCH(1*MID(LEFT(D824, LEN(D824)-1),6,2),1,"1",2,"2",3,"3",4,"4",5,"6",6,"6",7,"7",8,"8",9,"9",10,"10",11,"11",12,"12",13,"14",14,"14"))&amp;"、SS400相当、防食："&amp;_xlfn.IFS(MID(D825,1,3)="防食Ⅱ","HDZT77めっき",MID(D825,5,2)="塩害","ｱﾙﾐﾅｲｽﾞ処理",MID(D825,5,2)="酸性","重防食処理"))</f>
        <v>PLP5-4、SS400相当、防食：HDZT77めっき</v>
      </c>
      <c r="D850" s="208"/>
      <c r="E850" s="209"/>
      <c r="F850" s="217" t="str">
        <f t="shared" si="33"/>
        <v>n=1</v>
      </c>
      <c r="G850" s="218"/>
      <c r="H850" s="219"/>
      <c r="I850" s="213" t="s">
        <v>16</v>
      </c>
      <c r="J850" s="220" t="str">
        <f>IF(OR(D823=0,D824="　"),"",MID(F850,3,2))</f>
        <v>1</v>
      </c>
      <c r="K850" s="214">
        <f>IFERROR(D823*J850,"")</f>
        <v>10</v>
      </c>
    </row>
    <row r="851" spans="2:11" ht="12" customHeight="1">
      <c r="B851" s="206" t="s">
        <v>154</v>
      </c>
      <c r="C851" s="207" t="str">
        <f>IF(OR(D823=0,D824="　"),"","G"&amp;MID(LEFT(D824, LEN(D824)-1),4,4)&amp;"、NBR45相当")</f>
        <v>G5-4、NBR45相当</v>
      </c>
      <c r="D851" s="208"/>
      <c r="E851" s="209"/>
      <c r="F851" s="217" t="str">
        <f t="shared" si="33"/>
        <v>n=1</v>
      </c>
      <c r="G851" s="218"/>
      <c r="H851" s="219"/>
      <c r="I851" s="213" t="s">
        <v>13</v>
      </c>
      <c r="J851" s="220" t="str">
        <f>IF(OR(D823=0,D824="　"),"",MID(F851,3,2))</f>
        <v>1</v>
      </c>
      <c r="K851" s="214">
        <f>IFERROR(D823*J851,"")</f>
        <v>10</v>
      </c>
    </row>
    <row r="852" spans="2:11" ht="12" customHeight="1">
      <c r="B852" s="206" t="str" cm="1">
        <f t="array" ref="B852">_xlfn.IFS(OR(D823=0,D824="　"),"",MID(D826,1,3)="アルミ","頭部防錆油",MID(D826,1,3)&lt;&gt;"アルミ","余長キャップ")</f>
        <v>余長キャップ</v>
      </c>
      <c r="C852" s="221" t="str" cm="1">
        <f t="array" ref="C852">_xlfn.IFS(OR(D823=0,D824="　"),"",MID(D826,1,3)="アルミ","PCコートC",MID(D826,1,3)&lt;&gt;"アルミ","TC"&amp;MID(D824,4,1)&amp;"、高密度ポチエチレン")</f>
        <v>TC5、高密度ポチエチレン</v>
      </c>
      <c r="D852" s="208"/>
      <c r="E852" s="209"/>
      <c r="F852" s="217" t="str" cm="1">
        <f t="array" ref="F852">_xlfn.IFS(OR(D823=0,D824="　"),"",MID(D826,1,3)="アルミ","W="&amp;IF(MID(D824,4,1)="5",_xlfn.SWITCH(1*MID(LEFT(D824, LEN(D824)-1),6,2),1,1.9,2,1.3,3,1.3,4,1.3,5,1.6,6,1.6,7,1.6,8,3.1,9,3.1,10,3.1,11,3.1,12,3.1),"G6"&amp;_xlfn.SWITCH(1*MID(LEFT(D824, LEN(D824)-1),6,2),1,1.8,2,1.3,3,1.8,4,1.8,5,3.3,6,3.3,7,3.3,8,9.9,9,9.9,10,9.9,11,9.9,12,9.9,13,9.9,14,9.9)),MID(D826,1,3)&lt;&gt;"アルミ","n=1")</f>
        <v>n=1</v>
      </c>
      <c r="G852" s="218"/>
      <c r="H852" s="219"/>
      <c r="I852" s="213" t="str" cm="1">
        <f t="array" ref="I852">_xlfn.IFS(OR(D823=0,D824="　"),"",MID(D826,1,3)="アルミ","kg",MID(D826,1,3)&lt;&gt;"アルミ","式")</f>
        <v>式</v>
      </c>
      <c r="J852" s="220" t="str">
        <f>IF(OR(D823=0,D824="　"),"",MID(F852,3,4))</f>
        <v>1</v>
      </c>
      <c r="K852" s="214">
        <f>IFERROR(D823*J852,"")</f>
        <v>10</v>
      </c>
    </row>
    <row r="853" spans="2:11" ht="12" customHeight="1">
      <c r="B853" s="206" t="s">
        <v>9</v>
      </c>
      <c r="C853" s="207" t="str" cm="1">
        <f t="array" ref="C853">IF(OR(D823=0,D824="　"),"",IF(MID(D824,4,1)="5","PS5-"&amp;_xlfn.SWITCH(1*MID(LEFT(D824, LEN(D824)-1),6,2),1,"7",2,"2",3,"3",4,"4",5,"7",6,"7",7,"7",8,"12",9,"12",10,"12",11,"12",12,"12"),"PS6-"&amp;_xlfn.SWITCH(1*MID(LEFT(D824, LEN(D824)-1),6,2),1,"7",2,"2",3,"3",4,"4",5,"7",6,"7",7,"7",8,"12",9,"12",10,"12",11,"12",12,"12",13,"14",14,"14"))&amp;"、高密度ポリエチレン")</f>
        <v>PS5-4、高密度ポリエチレン</v>
      </c>
      <c r="D853" s="208"/>
      <c r="E853" s="209"/>
      <c r="F853" s="217" t="str">
        <f>"n=2"</f>
        <v>n=2</v>
      </c>
      <c r="G853" s="218"/>
      <c r="H853" s="219"/>
      <c r="I853" s="213" t="s">
        <v>13</v>
      </c>
      <c r="J853" s="220" t="str">
        <f>IF(OR(D823=0,D824="　"),"",MID(F853,3,2))</f>
        <v>2</v>
      </c>
      <c r="K853" s="214">
        <f>IFERROR(D823*J853,"")</f>
        <v>20</v>
      </c>
    </row>
    <row r="854" spans="2:11" ht="12" customHeight="1">
      <c r="B854" s="206" t="s">
        <v>2</v>
      </c>
      <c r="C854" s="207" t="str" cm="1">
        <f t="array" ref="C854">IF(OR(D823=0,D824="　"),"",IF(MID(D824,4,1)="5","S5-"&amp;_xlfn.IFS(1*MID(LEFT(D824, LEN(D824)-1),6,2)&lt;6,"5",1*MID(LEFT(D824, LEN(D824)-1),6,2)&lt;9,"8",1*MID(LEFT(D824, LEN(D824)-1),6,2)&gt;8,"12"),"S6-"&amp;_xlfn.IFS(1*MID(LEFT(D824, LEN(D824)-1),6,2)&lt;4,"3",1*MID(LEFT(D824, LEN(D824)-1),6,2)&lt;7,"6",1*MID(LEFT(D824, LEN(D824)-1),6,2)&lt;10,"9",1*MID(LEFT(D824, LEN(D824)-1),6,2)&lt;13,"12",1*MID(LEFT(D824, LEN(D824)-1),6,2)&gt;12,"14"))&amp;"、ポリプロピレン")</f>
        <v>S5-5、ポリプロピレン</v>
      </c>
      <c r="D854" s="208"/>
      <c r="E854" s="209"/>
      <c r="F854" s="222" t="s">
        <v>155</v>
      </c>
      <c r="G854" s="211"/>
      <c r="H854" s="212"/>
      <c r="I854" s="213" t="s">
        <v>13</v>
      </c>
      <c r="J854" s="206">
        <f>IF(OR(D823=0,D824="　"),"",MROUND((D832-0.4)/1,1))</f>
        <v>4</v>
      </c>
      <c r="K854" s="214">
        <f>IFERROR(D823*J854,"")</f>
        <v>40</v>
      </c>
    </row>
    <row r="855" spans="2:11" ht="12" customHeight="1">
      <c r="B855" s="206" t="s">
        <v>1</v>
      </c>
      <c r="C855" s="207" t="str" cm="1">
        <f t="array" ref="C855">IF(OR(D823=0,D824="　"),"",IF(MID(D824,4,1)="5","PC5-"&amp;_xlfn.IFS(1*MID(LEFT(D824, LEN(D824)-1),6,2)&lt;5,"4",1*MID(LEFT(D824, LEN(D824)-1),6,2)&lt;8,"7",1*MID(LEFT(D824, LEN(D824)-1),6,2)&lt;10,"9",1*MID(LEFT(D824, LEN(D824)-1),6,2)&gt;9,"12"),"PC6-"&amp;_xlfn.IFS(1*MID(LEFT(D824, LEN(D824)-1),6,2)&lt;4,"3",1*MID(LEFT(D824, LEN(D824)-1),6,2)&lt;8,"7",1*MID(LEFT(D824, LEN(D824)-1),6,2)&lt;13,"12",1*MID(LEFT(D824, LEN(D824)-1),6,2)&gt;12,"14"))&amp;"、ポリプロピレン")</f>
        <v>PC5-4、ポリプロピレン</v>
      </c>
      <c r="D855" s="208"/>
      <c r="E855" s="209"/>
      <c r="F855" s="217" t="str">
        <f>"n=1"</f>
        <v>n=1</v>
      </c>
      <c r="G855" s="218"/>
      <c r="H855" s="219"/>
      <c r="I855" s="213" t="s">
        <v>13</v>
      </c>
      <c r="J855" s="220" t="str">
        <f>IF(OR(D823=0,D824="　"),"",MID(F855,3,2))</f>
        <v>1</v>
      </c>
      <c r="K855" s="214">
        <f>IFERROR(D823*J855,"")</f>
        <v>10</v>
      </c>
    </row>
    <row r="856" spans="2:11" ht="12" customHeight="1">
      <c r="B856" s="206" t="s">
        <v>3</v>
      </c>
      <c r="C856" s="207" t="str">
        <f>IF(OR(D823=0,D824="　"),"","66ナイロン")</f>
        <v>66ナイロン</v>
      </c>
      <c r="D856" s="208"/>
      <c r="E856" s="209"/>
      <c r="F856" s="222" t="s">
        <v>156</v>
      </c>
      <c r="G856" s="211"/>
      <c r="H856" s="212"/>
      <c r="I856" s="213" t="s">
        <v>14</v>
      </c>
      <c r="J856" s="206">
        <f>IF(OR(D823=0,D824="　"),"",2*J854)</f>
        <v>8</v>
      </c>
      <c r="K856" s="214">
        <f>IFERROR(D823*J856,"")</f>
        <v>80</v>
      </c>
    </row>
    <row r="857" spans="2:11" ht="12" customHeight="1">
      <c r="B857" s="206" t="s">
        <v>4</v>
      </c>
      <c r="C857" s="207" t="str">
        <f>IF(OR(D823=0,D824="　"),"","フィラメントテープ")</f>
        <v>フィラメントテープ</v>
      </c>
      <c r="D857" s="208"/>
      <c r="E857" s="209"/>
      <c r="F857" s="222" t="str">
        <f>IF(OR(D823=0,D824="　"),"","L=((自由長+緊張部長)÷@1.0m)×テープ係数"&amp;IF(MID(D824,4,1)="5",_xlfn.IFS(1*MID(LEFT(D824, LEN(D824)-1),6,2)&lt;4,"0.8",1*MID(LEFT(D824, LEN(D824)-1),6,2)&lt;7,"1.0",1*MID(LEFT(D824, LEN(D824)-1),6,2)&lt;10,"1.2",1*MID(LEFT(D824, LEN(D824)-1),6,2)&lt;13,"1.4"),_xlfn.IFS(1*MID(LEFT(D824, LEN(D824)-1),6,2)&lt;4,"1.0",1*MID(LEFT(D824, LEN(D824)-1),6,2)&lt;7,"1.2",1*MID(LEFT(D824, LEN(D824)-1),6,2)&lt;10,"1.4",1*MID(LEFT(D824, LEN(D824)-1),6,2)&lt;15,"1.8")))</f>
        <v>L=((自由長+緊張部長)÷@1.0m)×テープ係数1.0</v>
      </c>
      <c r="G857" s="211"/>
      <c r="H857" s="212"/>
      <c r="I857" s="213" t="s">
        <v>12</v>
      </c>
      <c r="J857" s="223">
        <f>IF(OR(D823=0,D824="　"),"",MROUND((SUM(D833,D834))/1*RIGHT(F857, 3),0.1))</f>
        <v>5.5</v>
      </c>
      <c r="K857" s="214">
        <f>IFERROR(D823*J857,"")</f>
        <v>55</v>
      </c>
    </row>
    <row r="858" spans="2:11" ht="12" customHeight="1">
      <c r="B858" s="206" t="s">
        <v>0</v>
      </c>
      <c r="C858" s="207" t="str">
        <f>IF(OR(D823=0,D824="　"),"","16/20、高密度ポリエチレン")</f>
        <v>16/20、高密度ポリエチレン</v>
      </c>
      <c r="D858" s="208"/>
      <c r="E858" s="209"/>
      <c r="F858" s="210" t="s">
        <v>33</v>
      </c>
      <c r="G858" s="211"/>
      <c r="H858" s="212"/>
      <c r="I858" s="213" t="s">
        <v>12</v>
      </c>
      <c r="J858" s="214">
        <f>IF(OR(D823=0,D824="　"),"",MROUND(D836,0.1))</f>
        <v>9.7000000000000011</v>
      </c>
      <c r="K858" s="214">
        <f>IFERROR(D823*J858,"")</f>
        <v>97.000000000000014</v>
      </c>
    </row>
    <row r="859" spans="2:11" ht="12" customHeight="1">
      <c r="B859" s="206" t="str" cm="1">
        <f t="array" ref="B859">_xlfn.IFS(OR(D823=0,D824="　",MID(D827,1,2)="なし",MID(D827,1,3)="受圧体"),"",MID(D827,1,3)="のり面","のり面角度台座",MID(D827,1,3)="構造物","構造物壁面台座",MID(D827,1,3)="土留め","土留め台座")</f>
        <v>のり面角度台座</v>
      </c>
      <c r="C859" s="210" t="str" cm="1">
        <f t="array" ref="C859">IF(OR(D823=0,D824="　",MID(D827,1,2)="なし",MID(D827,1,3)="受圧体"),"",_xlfn.IFS(MID(D827,1,3)="のり面",IF(1*MID(D824,4,1)=5,_xlfn.IFS(1*MID(LEFT(D824, LEN(D824)-1),6,2)&lt;5,"ST140",1*MID(LEFT(D824, LEN(D824)-1),6,2)&lt;8,"ST170",1*MID(LEFT(D824, LEN(D824)-1),6,2)&lt;13,"ST220"),_xlfn.IFS(1*MID(LEFT(D824, LEN(D824)-1),6,2)&lt;4,"ST140",1*MID(LEFT(D824, LEN(D824)-1),6,2)&lt;5,"ST170",1*MID(LEFT(D824, LEN(D824)-1),6,2)&lt;8,"ST220",1*MID(LEFT(D824, LEN(D824)-1),6,2)&lt;15,"非該当"))&amp;"、FCD450相当、防食："&amp;_xlfn.IFS(MID(D825,1,3)="防食Ⅱ","HDZT77めっき",MID(D825,5,2)="塩害","ｱﾙﾐﾅｲｽﾞ処理",MID(D825,5,2)="酸性","重防食処理"),OR(MID(D827,1,3)="構造物",MID(D827,1,3)="土留め"),D824&amp;"用"&amp;IF(OR(MID(D827,1,3)="構造物",D828="　"),"",D828)&amp;"、防食："&amp;_xlfn.IFS(MID(D825,1,3)="防食Ⅱ","HDZT77めっき",MID(D825,5,2)="塩害","ｱﾙﾐﾅｲｽﾞ処理",MID(D825,5,2)="酸性","重防食処理")))</f>
        <v>ST140、FCD450相当、防食：HDZT77めっき</v>
      </c>
      <c r="D859" s="208"/>
      <c r="E859" s="209"/>
      <c r="F859" s="217" t="str">
        <f>IF(OR(D827="なし",D827="受圧体のみ"),"","n=1")</f>
        <v>n=1</v>
      </c>
      <c r="G859" s="218"/>
      <c r="H859" s="219"/>
      <c r="I859" s="213" t="str">
        <f>IF(OR(D823=0,D824="　",B859=""),"","台")</f>
        <v>台</v>
      </c>
      <c r="J859" s="220" t="str">
        <f>IF(OR(D823=0,D824="　"),"",MID(F859,3,2))</f>
        <v>1</v>
      </c>
      <c r="K859" s="214">
        <f>IFERROR(D823*J859,"")</f>
        <v>10</v>
      </c>
    </row>
    <row r="860" spans="2:11" ht="12" customHeight="1">
      <c r="B860" s="206" t="str">
        <f>IF(OR(D823=0,D824="　",MID(D827,1,3)&lt;&gt;"のり面"),"","補剛板")</f>
        <v>補剛板</v>
      </c>
      <c r="C860" s="210" t="str" cm="1">
        <f t="array" ref="C860">IF(OR(D823=0,D824="　",MID(D827,1,3)&lt;&gt;"のり面"),"",IF(MID(D824,4,1)="5","□"&amp;_xlfn.SWITCH(1*MID(LEFT(D824, LEN(D824)-1),6,2),1,"210φ131t12",2,"210φ131t12",3,"240φ131t12",4,"270φ131t12",5,"280φ143t12",6,"310φ143t16",7,"350φ143t19",8,"350φ180t19",9,"350φ180t19",10,"350φ180t19",11,"350φ180t22",12,"350φ180t22"),"□"&amp;_xlfn.SWITCH(1*MID(LEFT(D824, LEN(D824)-1),6,2),1,"210,φ131,t12",2,"240,φ131,t12",3,"270,φ131,t16",4,"300,φ143,t16",5,"350,φ180,t16",6,"350,φ180,t16",7,"350,φ180,t19",8,"400,φ──,t12",9,"400,φ──,t12",10,"400,φ──,t12",11,"400,φ──,t12",12,"400,φ──,t12",13,"400,φ──,t12",14,"400,φ──,t12"))&amp;"、SS400相当、防食："&amp;_xlfn.IFS(MID(D825,1,3)="防食Ⅱ","HDZT77めっき",MID(D825,5,2)="塩害","ｱﾙﾐﾅｲｽﾞ処理",MID(D825,5,2)="酸性","重防食処理"))</f>
        <v>□270φ131t12、SS400相当、防食：HDZT77めっき</v>
      </c>
      <c r="D860" s="208"/>
      <c r="E860" s="209"/>
      <c r="F860" s="217" t="str">
        <f>IF(OR(D823=0,D824="　",MID(D827,1,3)&lt;&gt;"のり面"),"","n=1")</f>
        <v>n=1</v>
      </c>
      <c r="G860" s="218"/>
      <c r="H860" s="219"/>
      <c r="I860" s="213" t="str">
        <f>IF(OR(D823=0,D824="　",B860="",MID(D827,1,3)&lt;&gt;"のり面"),"","枚")</f>
        <v>枚</v>
      </c>
      <c r="J860" s="220" t="str">
        <f>IF(OR(D823=0,D824="　"),"",MID(F860,3,2))</f>
        <v>1</v>
      </c>
      <c r="K860" s="214">
        <f>IFERROR(D823*J860,"")</f>
        <v>10</v>
      </c>
    </row>
    <row r="861" spans="2:11" ht="12" customHeight="1">
      <c r="B861" s="206" t="str" cm="1">
        <f t="array" ref="B861">_xlfn.IFS(OR(D823=0,D824="　"),"",MID(D826,1,3)="アルミ","",MID(D826,1,3)&lt;&gt;"アルミ","テンドン補修用塗料")</f>
        <v>テンドン補修用塗料</v>
      </c>
      <c r="C861" s="210" t="str" cm="1">
        <f t="array" ref="C861">_xlfn.IFS(OR(D823=0,D824="　"),"",MID(D826,1,3)="アルミ","",MID(D826,1,3)&lt;&gt;"アルミ","エポキシ樹脂")</f>
        <v>エポキシ樹脂</v>
      </c>
      <c r="D861" s="208"/>
      <c r="E861" s="209"/>
      <c r="F861" s="217" t="str" cm="1">
        <f t="array" ref="F861">_xlfn.IFS(OR(D823=0,D824="　"),"",MID(D826,1,3)="アルミ","",MID(D826,1,3)&lt;&gt;"アルミ","W=PC鋼より線本数×"&amp;IF(MID(D824,4,1)="5","0.28","0.40"))</f>
        <v>W=PC鋼より線本数×0.28</v>
      </c>
      <c r="G861" s="218"/>
      <c r="H861" s="219"/>
      <c r="I861" s="213" t="str" cm="1">
        <f t="array" ref="I861">_xlfn.IFS(OR(D823=0,D824="　"),"",MID(D826,1,3)="アルミ","",MID(D826,1,3)&lt;&gt;"アルミ","g")</f>
        <v>g</v>
      </c>
      <c r="J861" s="224" cm="1">
        <f t="array" ref="J861">_xlfn.IFS(OR(D823=0,D824="　"),"",MID(D826,1,3)="アルミ","",MID(D826,1,3)&lt;&gt;"アルミ",MID(LEFT(D824, LEN(D824)-1),6,2)*IF(MID(D824,4,1)="5",0.28,0.4))</f>
        <v>1.1200000000000001</v>
      </c>
      <c r="K861" s="214">
        <f>IFERROR(D823*J861,"")</f>
        <v>11.200000000000001</v>
      </c>
    </row>
    <row r="862" spans="2:11" ht="12" customHeight="1">
      <c r="B862" s="206" t="str" cm="1">
        <f t="array" ref="B862">_xlfn.IFS(OR(D823=0,D824="　"),"",MID(D826,1,3)="アルミ","",MID(D826,1,3)&lt;&gt;"アルミ","長期防錆スプレー")</f>
        <v>長期防錆スプレー</v>
      </c>
      <c r="C862" s="210" t="str" cm="1">
        <f t="array" ref="C862">_xlfn.IFS(OR(D823=0,D824="　"),"",MID(D826,1,3)="アルミ","",MID(D826,1,3)&lt;&gt;"アルミ","防錆オイル")</f>
        <v>防錆オイル</v>
      </c>
      <c r="D862" s="208"/>
      <c r="E862" s="209"/>
      <c r="F862" s="217" t="str" cm="1">
        <f t="array" ref="F862">_xlfn.IFS(OR(D823=0,D824="　"),"",MID(D826,1,3)="アルミ","",MID(D826,1,3)&lt;&gt;"アルミ","n=0.01×(PC鋼より線本数+"&amp;IF(MID(D824,4,1)="5","6","12")&amp;")")</f>
        <v>n=0.01×(PC鋼より線本数+6)</v>
      </c>
      <c r="G862" s="218"/>
      <c r="H862" s="219"/>
      <c r="I862" s="213" t="str" cm="1">
        <f t="array" ref="I862">_xlfn.IFS(OR(D823=0,D824="　"),"",MID(D826,1,3)="アルミ","",MID(D826,1,3)&lt;&gt;"アルミ","缶")</f>
        <v>缶</v>
      </c>
      <c r="J862" s="224" cm="1">
        <f t="array" ref="J862">_xlfn.IFS(OR(D823=0,D824="　"),"",MID(D826,1,3)="アルミ","",MID(D826,1,3)&lt;&gt;"アルミ",0.01*(MID(LEFT(D824, LEN(D824)-1),6,2)+IF(MID(D824,4,1)="5",6,12)))</f>
        <v>0.1</v>
      </c>
      <c r="K862" s="214">
        <f>IFERROR(D823*J862,"")</f>
        <v>1</v>
      </c>
    </row>
    <row r="863" spans="2:11" ht="12" customHeight="1">
      <c r="B863" s="206" t="str">
        <f>IF(OR(D823=0,D824="　",D829="なし"),"","フリーパッカー注入ホース")</f>
        <v/>
      </c>
      <c r="C863" s="207" t="str">
        <f>IF(OR(D823=0,D824="　",B863=""),"","16/20、高密度ポリエチレン")</f>
        <v/>
      </c>
      <c r="D863" s="208"/>
      <c r="E863" s="209"/>
      <c r="F863" s="210" t="str">
        <f>IF(B863="","","L=自由長+緊張部長")</f>
        <v/>
      </c>
      <c r="G863" s="211"/>
      <c r="H863" s="212"/>
      <c r="I863" s="213" t="str">
        <f>IF(OR(D823=0,D824="　",B863=""),"","m")</f>
        <v/>
      </c>
      <c r="J863" s="214" t="str">
        <f>IF(OR(D823=0,D824="　"),"",IF(B863="","",MROUND(D833+D834,0.1)))</f>
        <v/>
      </c>
      <c r="K863" s="214" t="str">
        <f>IFERROR(D823*J863,"")</f>
        <v/>
      </c>
    </row>
    <row r="864" spans="2:11" ht="12" customHeight="1">
      <c r="B864" s="225" t="str">
        <f>IF(OR(D823=0,D824="　",D829="なし"),"","フリーパッカー")</f>
        <v/>
      </c>
      <c r="C864" s="217" t="str" cm="1">
        <f t="array" ref="C864">IF(OR(D823=0,D824="　",B863=""),"",_xlfn.SWITCH(D838,90,"PA-170",115,"PA-200",135,"PA-240",146,"PA-240",165,"PA-350")&amp;"、織布")</f>
        <v/>
      </c>
      <c r="D864" s="208"/>
      <c r="E864" s="209"/>
      <c r="F864" s="226" t="str">
        <f>IF(B864="","","L=自由長+0.5m")</f>
        <v/>
      </c>
      <c r="G864" s="227"/>
      <c r="H864" s="228"/>
      <c r="I864" s="213" t="str">
        <f>IF(OR(D824=0,D825="　",B864=""),"","m")</f>
        <v/>
      </c>
      <c r="J864" s="214" t="str">
        <f>IF(OR(D823=0,D824="　"),"",IF(B864="","",MROUND(D833+0.5,0.1)))</f>
        <v/>
      </c>
      <c r="K864" s="214" t="str">
        <f>IFERROR(D823*J864,"")</f>
        <v/>
      </c>
    </row>
    <row r="865" spans="2:11" ht="12" customHeight="1">
      <c r="B865" s="206" t="str">
        <f>IF(OR(D823=0,D824="　",D829="なし"),"","パッカー取付加工")</f>
        <v/>
      </c>
      <c r="C865" s="207"/>
      <c r="D865" s="208"/>
      <c r="E865" s="209"/>
      <c r="F865" s="217" t="str">
        <f>IF(B865="","","n=1")</f>
        <v/>
      </c>
      <c r="G865" s="218"/>
      <c r="H865" s="219"/>
      <c r="I865" s="213" t="str">
        <f>IF(OR(D825=0,D826="　",B865=""),"","式")</f>
        <v/>
      </c>
      <c r="J865" s="220" t="str">
        <f>IF(OR(D823=0,D824="　"),"",MID(F865,3,2))</f>
        <v/>
      </c>
      <c r="K865" s="206" t="str">
        <f>IFERROR(D823*J865,"")</f>
        <v/>
      </c>
    </row>
    <row r="866" spans="2:11" ht="12" customHeight="1">
      <c r="B866" s="229"/>
      <c r="C866" s="230"/>
      <c r="D866" s="231"/>
      <c r="E866" s="232"/>
      <c r="F866" s="233"/>
      <c r="G866" s="234"/>
      <c r="H866" s="235"/>
      <c r="I866" s="236"/>
      <c r="J866" s="237"/>
      <c r="K866" s="229"/>
    </row>
    <row r="867" spans="2:11" ht="12" customHeight="1">
      <c r="B867" s="238" t="s">
        <v>30</v>
      </c>
      <c r="C867" s="239" t="s">
        <v>31</v>
      </c>
      <c r="D867" s="240"/>
      <c r="E867" s="241"/>
      <c r="F867" s="242" t="s">
        <v>157</v>
      </c>
      <c r="G867" s="243"/>
      <c r="H867" s="244"/>
      <c r="I867" s="245" t="s">
        <v>55</v>
      </c>
      <c r="J867" s="246">
        <f>IFERROR(MROUND(0.25*PI()*(0.001*D838)^2*(D831+D832+D837)*(1+2.2),0.01),"")</f>
        <v>0.17</v>
      </c>
      <c r="K867" s="246">
        <f>IFERROR(D823*J867,"")</f>
        <v>1.7000000000000002</v>
      </c>
    </row>
    <row r="869" spans="2:11" ht="12" customHeight="1">
      <c r="B869" s="247" t="s">
        <v>136</v>
      </c>
      <c r="C869" s="247"/>
      <c r="D869" s="247"/>
      <c r="F869" s="163"/>
      <c r="G869" s="164"/>
      <c r="H869" s="164"/>
    </row>
    <row r="870" spans="2:11" ht="12" customHeight="1">
      <c r="B870" s="15" t="s">
        <v>111</v>
      </c>
      <c r="C870" s="15"/>
      <c r="D870" s="1"/>
      <c r="E870" s="1"/>
      <c r="H870" s="119"/>
      <c r="J870" s="118"/>
    </row>
    <row r="871" spans="2:11" ht="12" customHeight="1">
      <c r="B871" s="165" t="s">
        <v>166</v>
      </c>
      <c r="C871" s="3"/>
      <c r="D871" s="1"/>
      <c r="E871" s="1"/>
      <c r="F871" s="8"/>
      <c r="G871" s="8"/>
      <c r="H871" s="102"/>
      <c r="I871" s="28"/>
      <c r="J871" s="118"/>
    </row>
    <row r="872" spans="2:11" ht="12" customHeight="1">
      <c r="B872" s="15" t="s">
        <v>40</v>
      </c>
      <c r="C872" s="3"/>
      <c r="D872" s="1"/>
      <c r="E872" s="1"/>
      <c r="F872" s="15" t="s">
        <v>54</v>
      </c>
      <c r="G872" s="15"/>
      <c r="H872" s="102"/>
      <c r="I872" s="28"/>
    </row>
    <row r="873" spans="2:11" ht="12" customHeight="1">
      <c r="B873" s="2" t="s">
        <v>53</v>
      </c>
      <c r="C873" s="2" t="s">
        <v>21</v>
      </c>
      <c r="D873" s="2" t="s">
        <v>22</v>
      </c>
      <c r="E873" s="17"/>
      <c r="F873" s="49" t="s">
        <v>41</v>
      </c>
      <c r="G873" s="97" t="s">
        <v>59</v>
      </c>
      <c r="H873" s="49" t="s">
        <v>44</v>
      </c>
      <c r="I873" s="2" t="s">
        <v>21</v>
      </c>
      <c r="J873" s="49" t="s">
        <v>138</v>
      </c>
      <c r="K873" s="2" t="s">
        <v>28</v>
      </c>
    </row>
    <row r="874" spans="2:11" ht="12" customHeight="1">
      <c r="B874" s="166" t="s">
        <v>25</v>
      </c>
      <c r="C874" s="18" t="s">
        <v>24</v>
      </c>
      <c r="D874" s="167">
        <v>10</v>
      </c>
      <c r="E874" s="19"/>
      <c r="F874" s="168" t="s">
        <v>43</v>
      </c>
      <c r="G874" s="169" t="s">
        <v>113</v>
      </c>
      <c r="H874" s="88" t="str" cm="1">
        <f t="array" ref="H874">_xlfn.IFS(AND(F874&lt;&gt;"非削孔",F874&lt;&gt;"無設定"),D889,F874="非削孔",IF(MID(D878,1,3)="土留め","非削孔","箱抜き"),F874="無設定","無設定")</f>
        <v>箱抜き</v>
      </c>
      <c r="I874" s="23" t="str">
        <f>IF(F874="無設定","","m")</f>
        <v>m</v>
      </c>
      <c r="J874" s="170">
        <v>0.5</v>
      </c>
      <c r="K874" s="30">
        <f>D874*J874</f>
        <v>5</v>
      </c>
    </row>
    <row r="875" spans="2:11" ht="12" customHeight="1">
      <c r="B875" s="171" t="s">
        <v>37</v>
      </c>
      <c r="C875" s="50" t="s">
        <v>38</v>
      </c>
      <c r="D875" s="172" t="s">
        <v>159</v>
      </c>
      <c r="E875" s="173"/>
      <c r="F875" s="174" t="s">
        <v>49</v>
      </c>
      <c r="G875" s="169" t="s">
        <v>114</v>
      </c>
      <c r="H875" s="88" cm="1">
        <f t="array" ref="H875">_xlfn.IFS(AND(F875&lt;&gt;"非削孔",F875&lt;&gt;"無設定"),D889,F875="非削孔","箱抜き",F875="無設定","無設定")</f>
        <v>90</v>
      </c>
      <c r="I875" s="23" t="str">
        <f t="shared" ref="I875:I883" si="34">IF(F875="無設定","","m")</f>
        <v>m</v>
      </c>
      <c r="J875" s="170">
        <v>2.64</v>
      </c>
      <c r="K875" s="30">
        <f>D874*J875</f>
        <v>26.400000000000002</v>
      </c>
    </row>
    <row r="876" spans="2:11" ht="12" customHeight="1">
      <c r="B876" s="52" t="s">
        <v>39</v>
      </c>
      <c r="C876" s="91" t="s">
        <v>38</v>
      </c>
      <c r="D876" s="175" t="s">
        <v>60</v>
      </c>
      <c r="E876" s="140"/>
      <c r="F876" s="174" t="s">
        <v>49</v>
      </c>
      <c r="G876" s="169" t="s">
        <v>115</v>
      </c>
      <c r="H876" s="88" cm="1">
        <f t="array" ref="H876">_xlfn.IFS(AND(F876&lt;&gt;"非削孔",F876&lt;&gt;"無設定"),D889,F876="非削孔","箱抜き",F876="無設定","無設定")</f>
        <v>90</v>
      </c>
      <c r="I876" s="23" t="str">
        <f t="shared" si="34"/>
        <v>m</v>
      </c>
      <c r="J876" s="170">
        <v>5.36</v>
      </c>
      <c r="K876" s="30">
        <f>D874*J876</f>
        <v>53.6</v>
      </c>
    </row>
    <row r="877" spans="2:11" ht="12" customHeight="1">
      <c r="B877" s="147" t="s">
        <v>140</v>
      </c>
      <c r="C877" s="91" t="s">
        <v>38</v>
      </c>
      <c r="D877" s="176" t="s">
        <v>141</v>
      </c>
      <c r="E877" s="141"/>
      <c r="F877" s="174" t="s">
        <v>48</v>
      </c>
      <c r="G877" s="169"/>
      <c r="H877" s="88" t="str" cm="1">
        <f t="array" ref="H877">_xlfn.IFS(AND(F877&lt;&gt;"非削孔",F877&lt;&gt;"無設定"),D889,F877="非削孔","箱抜き",F877="無設定","無設定")</f>
        <v>無設定</v>
      </c>
      <c r="I877" s="23" t="str">
        <f t="shared" si="34"/>
        <v/>
      </c>
      <c r="J877" s="170">
        <v>0</v>
      </c>
      <c r="K877" s="30">
        <f>D874*J877</f>
        <v>0</v>
      </c>
    </row>
    <row r="878" spans="2:11" ht="12" customHeight="1">
      <c r="B878" s="147" t="s">
        <v>142</v>
      </c>
      <c r="C878" s="91" t="s">
        <v>38</v>
      </c>
      <c r="D878" s="177" t="s">
        <v>160</v>
      </c>
      <c r="E878" s="21"/>
      <c r="F878" s="174" t="s">
        <v>48</v>
      </c>
      <c r="G878" s="169"/>
      <c r="H878" s="88" t="str" cm="1">
        <f t="array" ref="H878">_xlfn.IFS(AND(F878&lt;&gt;"非削孔",F878&lt;&gt;"無設定"),D889,F878="非削孔","箱抜き",F878="無設定","無設定")</f>
        <v>無設定</v>
      </c>
      <c r="I878" s="23" t="str">
        <f t="shared" si="34"/>
        <v/>
      </c>
      <c r="J878" s="170">
        <v>0</v>
      </c>
      <c r="K878" s="30">
        <f>D874*J878</f>
        <v>0</v>
      </c>
    </row>
    <row r="879" spans="2:11" ht="12" customHeight="1">
      <c r="B879" s="114" t="str">
        <f>IF(MID(D878,1,3)="土留め",D878&amp;"の種類","")</f>
        <v/>
      </c>
      <c r="C879" s="91" t="s">
        <v>38</v>
      </c>
      <c r="D879" s="178" t="s">
        <v>71</v>
      </c>
      <c r="E879" s="21"/>
      <c r="F879" s="174" t="s">
        <v>48</v>
      </c>
      <c r="G879" s="169"/>
      <c r="H879" s="88" t="str" cm="1">
        <f t="array" ref="H879">_xlfn.IFS(AND(F879&lt;&gt;"非削孔",F879&lt;&gt;"無設定"),D889,F879="非削孔","箱抜き",F879="無設定","無設定")</f>
        <v>無設定</v>
      </c>
      <c r="I879" s="23" t="str">
        <f t="shared" si="34"/>
        <v/>
      </c>
      <c r="J879" s="170">
        <v>0</v>
      </c>
      <c r="K879" s="30">
        <f>D874*J879</f>
        <v>0</v>
      </c>
    </row>
    <row r="880" spans="2:11" ht="12" customHeight="1">
      <c r="B880" s="179" t="s">
        <v>50</v>
      </c>
      <c r="C880" s="180" t="s">
        <v>38</v>
      </c>
      <c r="D880" s="181" t="s">
        <v>51</v>
      </c>
      <c r="E880" s="182"/>
      <c r="F880" s="174" t="s">
        <v>48</v>
      </c>
      <c r="G880" s="169"/>
      <c r="H880" s="88" t="str" cm="1">
        <f t="array" ref="H880">_xlfn.IFS(AND(F880&lt;&gt;"非削孔",F880&lt;&gt;"無設定"),D889,F880="非削孔","箱抜き",F880="無設定","無設定")</f>
        <v>無設定</v>
      </c>
      <c r="I880" s="23" t="str">
        <f t="shared" si="34"/>
        <v/>
      </c>
      <c r="J880" s="170">
        <v>0</v>
      </c>
      <c r="K880" s="30">
        <f>D874*J880</f>
        <v>0</v>
      </c>
    </row>
    <row r="881" spans="2:11" ht="12" customHeight="1">
      <c r="B881" s="160" t="str" cm="1">
        <f t="array" ref="B881">"頭部自由長"&amp;_xlfn.IFS(MID(D878,1,2)="なし","",MID(D878,1,3)="受圧体","(受圧体)",MID(D878,1,3)="のり面","(角度台座＋受圧体)",MID(D878,1,3)="構造物","(壁面台座)",MID(D878,1,3)="土留め","(台座+腹起し)")&amp;"　Lfh"</f>
        <v>頭部自由長(角度台座＋受圧体)　Lfh</v>
      </c>
      <c r="C881" s="155" t="s">
        <v>23</v>
      </c>
      <c r="D881" s="183">
        <v>0.5</v>
      </c>
      <c r="E881" s="21"/>
      <c r="F881" s="174" t="s">
        <v>144</v>
      </c>
      <c r="G881" s="169"/>
      <c r="H881" s="88" cm="1">
        <f t="array" ref="H881">_xlfn.IFS(AND(F881&lt;&gt;"非削孔",F881&lt;&gt;"無設定"),D889,F881="非削孔","箱抜き",F881="無設定","無設定")</f>
        <v>90</v>
      </c>
      <c r="I881" s="23" t="str">
        <f t="shared" si="34"/>
        <v>m</v>
      </c>
      <c r="J881" s="170">
        <v>0</v>
      </c>
      <c r="K881" s="30">
        <f>D874*J881</f>
        <v>0</v>
      </c>
    </row>
    <row r="882" spans="2:11" ht="12" customHeight="1">
      <c r="B882" s="22" t="s">
        <v>108</v>
      </c>
      <c r="C882" s="23" t="s">
        <v>23</v>
      </c>
      <c r="D882" s="184">
        <v>4</v>
      </c>
      <c r="E882" s="21"/>
      <c r="F882" s="174" t="s">
        <v>48</v>
      </c>
      <c r="G882" s="169"/>
      <c r="H882" s="88" t="str" cm="1">
        <f t="array" ref="H882">_xlfn.IFS(AND(F882&lt;&gt;"非削孔",F882&lt;&gt;"無設定"),D889,F882="非削孔","箱抜き",F882="無設定","無設定")</f>
        <v>無設定</v>
      </c>
      <c r="I882" s="23" t="str">
        <f t="shared" si="34"/>
        <v/>
      </c>
      <c r="J882" s="170">
        <v>0</v>
      </c>
      <c r="K882" s="30">
        <f>D874*J882</f>
        <v>0</v>
      </c>
    </row>
    <row r="883" spans="2:11" ht="12" customHeight="1">
      <c r="B883" s="157" t="s">
        <v>36</v>
      </c>
      <c r="C883" s="158" t="s">
        <v>23</v>
      </c>
      <c r="D883" s="185">
        <v>4</v>
      </c>
      <c r="F883" s="186" t="str" cm="1">
        <f t="array" ref="F883">INDEX(F874:H882,MATCH("無設定",F874:F882,0)-1,MATCH(F873,F873:H873,0))</f>
        <v>軟　岩</v>
      </c>
      <c r="G883" s="100" t="str" cm="1">
        <f t="array" ref="G883">INDEX(F874:H882,MATCH("無設定",F874:F882,0)-1,MATCH(G873,F873:H873,0))&amp;"　(先端長 L2d)"</f>
        <v>風化岩 CL　(先端長 L2d)</v>
      </c>
      <c r="H883" s="88" cm="1">
        <f t="array" ref="H883">INDEX(F874:H882,MATCH("無設定",F874:F882,0)-1,MATCH(H873,F873:H873,0))</f>
        <v>90</v>
      </c>
      <c r="I883" s="23" t="str">
        <f t="shared" si="34"/>
        <v>m</v>
      </c>
      <c r="J883" s="98">
        <f>D888</f>
        <v>0.25</v>
      </c>
      <c r="K883" s="78">
        <f>IFERROR(D874*J883,"")</f>
        <v>2.5</v>
      </c>
    </row>
    <row r="884" spans="2:11" ht="12" customHeight="1">
      <c r="B884" s="154" t="s">
        <v>145</v>
      </c>
      <c r="C884" s="155" t="s">
        <v>23</v>
      </c>
      <c r="D884" s="187">
        <f>IF(OR(D874=0,D875="　"),"──",SUM(D881:D882))</f>
        <v>4.5</v>
      </c>
      <c r="E884" s="19"/>
      <c r="F884" s="188"/>
      <c r="G884" s="75" t="s">
        <v>124</v>
      </c>
      <c r="H884" s="103"/>
      <c r="I884" s="18" t="s">
        <v>23</v>
      </c>
      <c r="J884" s="74">
        <f>SUMIFS(J874:J883,F874:F883,"&lt;&gt;非削孔",F874:F883,"&lt;&gt;無設定")</f>
        <v>8.25</v>
      </c>
      <c r="K884" s="95">
        <f>SUMIFS(K874:K883,F874:F883,"&lt;&gt;非削孔",F874:F883,"&lt;&gt;無設定")</f>
        <v>82.5</v>
      </c>
    </row>
    <row r="885" spans="2:11" ht="12" customHeight="1">
      <c r="B885" s="146" t="s">
        <v>146</v>
      </c>
      <c r="C885" s="23" t="s">
        <v>23</v>
      </c>
      <c r="D885" s="189" cm="1">
        <f t="array" ref="D885">IF(OR(D874=0,D875="　"),"──",IF(MID(D875,4,1)="5",_xlfn.IFS(1*MID(LEFT(D875, LEN(D875)-1),6,2)&lt;8,1,1*MID(LEFT(D875, LEN(D875)-1),6,2)&lt;13,1.2),_xlfn.IFS(1*MID(LEFT(D875, LEN(D875)-1),6,2)&lt;6,1,1*MID(LEFT(D875, LEN(D875)-1),6,2)&lt;15,1.2)))</f>
        <v>1</v>
      </c>
      <c r="E885" s="19"/>
      <c r="F885" s="190"/>
      <c r="G885" s="76" t="s">
        <v>47</v>
      </c>
      <c r="H885" s="104"/>
      <c r="I885" s="79" t="s">
        <v>46</v>
      </c>
      <c r="J885" s="77" t="str">
        <f>IF(OR(D874=0,D875="　"),"",IF(SUM(D882:D883,D888)=J884,"OK","NG"))</f>
        <v>OK</v>
      </c>
      <c r="K885" s="145" t="str">
        <f>IF(J885&lt;&gt;"NG","──",J884-SUM(D882:D883,D888))</f>
        <v>──</v>
      </c>
    </row>
    <row r="886" spans="2:11" ht="12" customHeight="1">
      <c r="B886" s="22" t="s">
        <v>125</v>
      </c>
      <c r="C886" s="23" t="s">
        <v>35</v>
      </c>
      <c r="D886" s="84">
        <f>IF(OR(D874=0,D875="　"),"──",0.2)</f>
        <v>0.2</v>
      </c>
      <c r="F886" s="191" t="s">
        <v>58</v>
      </c>
      <c r="G886" s="248" t="s">
        <v>110</v>
      </c>
      <c r="H886" s="249"/>
      <c r="I886" s="249"/>
      <c r="J886" s="249"/>
      <c r="K886" s="250"/>
    </row>
    <row r="887" spans="2:11" ht="12" customHeight="1">
      <c r="B887" s="6" t="s">
        <v>147</v>
      </c>
      <c r="C887" s="23" t="s">
        <v>23</v>
      </c>
      <c r="D887" s="60">
        <f>IF(OR(D874=0,D875="　"),"──",SUM(D883:D886))</f>
        <v>9.6999999999999993</v>
      </c>
    </row>
    <row r="888" spans="2:11" ht="12" customHeight="1">
      <c r="B888" s="25" t="s">
        <v>127</v>
      </c>
      <c r="C888" s="26" t="s">
        <v>23</v>
      </c>
      <c r="D888" s="27">
        <f>IF(OR(D874=0,D875="　"),"──",0.25)</f>
        <v>0.25</v>
      </c>
      <c r="F888" s="8"/>
      <c r="G888" s="8"/>
      <c r="H888" s="102"/>
    </row>
    <row r="889" spans="2:11" ht="12" customHeight="1">
      <c r="B889" s="95" t="s">
        <v>123</v>
      </c>
      <c r="C889" s="18" t="s">
        <v>32</v>
      </c>
      <c r="D889" s="192">
        <v>90</v>
      </c>
      <c r="E889" s="193" t="str">
        <f>IF(D889&lt;D890,"NG：削孔径不適合","")</f>
        <v/>
      </c>
      <c r="F889" s="8"/>
      <c r="G889" s="8"/>
      <c r="H889" s="102"/>
    </row>
    <row r="890" spans="2:11" ht="12" customHeight="1">
      <c r="B890" s="25" t="s">
        <v>122</v>
      </c>
      <c r="C890" s="26" t="s">
        <v>32</v>
      </c>
      <c r="D890" s="194" cm="1">
        <f t="array" ref="D890">IF(OR(D874=0,D875="　"),"──",IF(D880="なし",IF(MID(D875,4,1)="5",_xlfn.IFS(1*MID(LEFT(D875, LEN(D875)-1),6,2)&lt;6,90,1*MID(LEFT(D875, LEN(D875)-1),6,2)&lt;9,115,1*MID(LEFT(D875, LEN(D875)-1),6,2)&gt;8,135),_xlfn.IFS(1*MID(LEFT(D875, LEN(D875)-1),6,2)&lt;4,90,1*MID(LEFT(D875, LEN(D875)-1),6,2)&lt;7,115,1*MID(LEFT(D875, LEN(D875)-1),6,2)&lt;10,135,1*MID(LEFT(D875, LEN(D875)-1),6,2)&lt;13,146,1*MID(LEFT(D875, LEN(D875)-1),6,2)&gt;12,165)),IF(MID(D875,4,1)="5",_xlfn.IFS(1*MID(LEFT(D875, LEN(D875)-1),6,2)&lt;3,90,1*MID(LEFT(D875, LEN(D875)-1),6,2)&lt;7,115,1*MID(LEFT(D875, LEN(D875)-1),6,2)&lt;9,135,1*MID(LEFT(D875, LEN(D875)-1),6,2)&gt;8,146),_xlfn.IFS(1*MID(LEFT(D875, LEN(D875)-1),6,2)&lt;3,90,1*MID(LEFT(D875, LEN(D875)-1),6,2)&lt;4,115,1*MID(LEFT(D875, LEN(D875)-1),6,2)&lt;6,135,1*MID(LEFT(D875, LEN(D875)-1),6,2)&lt;10,146,1*MID(LEFT(D875, LEN(D875)-1),6,2)&lt;13,165,1*MID(LEFT(D875, LEN(D875)-1),6,2)&gt;12,216))))</f>
        <v>90</v>
      </c>
      <c r="E890" s="195"/>
      <c r="F890" s="8"/>
      <c r="G890" s="8"/>
      <c r="H890" s="102"/>
    </row>
    <row r="891" spans="2:11" ht="12" customHeight="1">
      <c r="B891" s="20"/>
      <c r="C891" s="46"/>
      <c r="D891" s="117"/>
      <c r="F891" s="8"/>
      <c r="G891" s="8"/>
      <c r="H891" s="102"/>
    </row>
    <row r="892" spans="2:11" ht="12" customHeight="1">
      <c r="B892" s="247" t="s">
        <v>136</v>
      </c>
      <c r="C892" s="247"/>
      <c r="D892" s="247"/>
      <c r="E892" s="1"/>
      <c r="F892" s="8"/>
      <c r="G892" s="8"/>
      <c r="H892" s="102"/>
    </row>
    <row r="893" spans="2:11" ht="12" customHeight="1">
      <c r="B893" s="2" t="s">
        <v>17</v>
      </c>
      <c r="C893" s="43"/>
      <c r="D893" s="196" t="s">
        <v>148</v>
      </c>
      <c r="E893" s="135"/>
      <c r="F893" s="16"/>
      <c r="G893" s="61" t="s">
        <v>42</v>
      </c>
      <c r="H893" s="97"/>
      <c r="I893" s="2" t="s">
        <v>21</v>
      </c>
      <c r="J893" s="49" t="s">
        <v>149</v>
      </c>
      <c r="K893" s="2" t="s">
        <v>28</v>
      </c>
    </row>
    <row r="894" spans="2:11" ht="12" customHeight="1">
      <c r="B894" s="197" t="s">
        <v>150</v>
      </c>
      <c r="C894" s="198" t="str">
        <f>IF(OR(D874=0,D875="　"),"",D875&amp;" ("&amp;MID(LEFT(D875, LEN(D875)-1),6,2)&amp;IF(MID(D875,4,1)="5","φ12.7","φ15.2")&amp;")")</f>
        <v>EHD5-4H (4φ12.7)</v>
      </c>
      <c r="D894" s="199"/>
      <c r="E894" s="200"/>
      <c r="F894" s="201" t="str">
        <f>"W=テンドン長×PC鋼より線本数×"&amp;IF(MID(D875,4,1)="5","0.774","1.101")&amp;"kg/m"</f>
        <v>W=テンドン長×PC鋼より線本数×0.774kg/m</v>
      </c>
      <c r="G894" s="202"/>
      <c r="H894" s="203"/>
      <c r="I894" s="204" t="s">
        <v>11</v>
      </c>
      <c r="J894" s="205">
        <f>IF(OR(D874=0,D875="　"),"",MROUND(D887*MID(LEFT(D875, LEN(D875)-1),6,2)*IF(MID(D875,4,1)="5","0.774","1.101"),0.01))</f>
        <v>30.03</v>
      </c>
      <c r="K894" s="205">
        <f>IFERROR(D874*J894,"")</f>
        <v>300.3</v>
      </c>
    </row>
    <row r="895" spans="2:11" ht="12" customHeight="1">
      <c r="B895" s="206" t="s">
        <v>151</v>
      </c>
      <c r="C895" s="207"/>
      <c r="D895" s="208"/>
      <c r="E895" s="209"/>
      <c r="F895" s="210" t="s">
        <v>33</v>
      </c>
      <c r="G895" s="211"/>
      <c r="H895" s="212"/>
      <c r="I895" s="213" t="s">
        <v>12</v>
      </c>
      <c r="J895" s="214">
        <f>IF(OR(D874=0,D875="　"),"",MROUND(D887,0.1))</f>
        <v>9.7000000000000011</v>
      </c>
      <c r="K895" s="214">
        <f>IFERROR(D874*J895,"")</f>
        <v>97.000000000000014</v>
      </c>
    </row>
    <row r="896" spans="2:11" ht="12" customHeight="1">
      <c r="B896" s="206" t="str">
        <f>"頭部キャップ"</f>
        <v>頭部キャップ</v>
      </c>
      <c r="C896" s="207" t="str" cm="1">
        <f t="array" ref="C896">IF(OR(D874=0,D875="　"),"",IF(MID(D875,4,1)="5",_xlfn.SWITCH(1*MID(LEFT(D875, LEN(D875)-1),6,2),1,"S",2,"S",3,"S",4,"S",5,"M",6,"M",7,"M",8,"L",9,"L",10,"L",11,"L",12,"L"),_xlfn.SWITCH(1*MID(LEFT(D875, LEN(D875)-1),6,2),1,"S",2,"S",3,"M",4,"M",5,"L",6,"L",7,"L",8,"LL",9,"LL",10,"LL",11,"LL",12,"LL",13,"LL",14,"LL"))&amp;"型"&amp;D877&amp;IF(OR(MID(D877,1,2)="透明",MID(D877,1,2)="5窓"),"、PC樹脂","")&amp;"、ｱﾙﾐAC4C相当"&amp;_xlfn.IFS(MID(D876,1,3)="防食Ⅱ","",MID(D876,5,2)="塩害","、防食：ﾀｹｺｰﾄ処理",MID(D876,5,2)="酸性","、防食：重防食処理"))</f>
        <v>S型透明キャップ、PC樹脂、ｱﾙﾐAC4C相当</v>
      </c>
      <c r="D896" s="215"/>
      <c r="E896" s="216"/>
      <c r="F896" s="217" t="str">
        <f t="shared" ref="F896:F902" si="35">"n=1"</f>
        <v>n=1</v>
      </c>
      <c r="G896" s="218"/>
      <c r="H896" s="219"/>
      <c r="I896" s="213" t="s">
        <v>13</v>
      </c>
      <c r="J896" s="220" t="str">
        <f>IF(OR(D874=0,D875="　"),"",MID(F896,3,2))</f>
        <v>1</v>
      </c>
      <c r="K896" s="214">
        <f>IFERROR(D874*J896,"")</f>
        <v>10</v>
      </c>
    </row>
    <row r="897" spans="2:11" ht="12" customHeight="1">
      <c r="B897" s="206" t="s">
        <v>5</v>
      </c>
      <c r="C897" s="207" t="str" cm="1">
        <f t="array" ref="C897">IF(OR(D874=0,D875="　"),"",IF(MID(D875,4,1)="5","G5"&amp;_xlfn.SWITCH(1*MID(LEFT(D875, LEN(D875)-1),6,2),1,"01",2,"02",3,"03",4,"04",5,"07",6,"07",7,"07",8,"09",9,"09",10,"12",11,"12",12,"12"),"G6"&amp;_xlfn.SWITCH(1*MID(LEFT(D875, LEN(D875)-1),6,2),1,"01",2,"02",3,"03",4,"04",5,"07",6,"07",7,"07",8,"09",9,"09",10,"12",11,"12",12,"12",13,"14",14,"14"))&amp;"、S45C相当"&amp;IF(MID(D877,1,3)&lt;&gt;"アルミ","、防食：無電解Niめっき",""))</f>
        <v>G504、S45C相当、防食：無電解Niめっき</v>
      </c>
      <c r="D897" s="208"/>
      <c r="E897" s="209"/>
      <c r="F897" s="217" t="str">
        <f t="shared" si="35"/>
        <v>n=1</v>
      </c>
      <c r="G897" s="218"/>
      <c r="H897" s="219"/>
      <c r="I897" s="213" t="s">
        <v>13</v>
      </c>
      <c r="J897" s="220" t="str">
        <f>IF(OR(D874=0,D875="　"),"",MID(F897,3,2))</f>
        <v>1</v>
      </c>
      <c r="K897" s="214">
        <f>IFERROR(D874*J897,"")</f>
        <v>10</v>
      </c>
    </row>
    <row r="898" spans="2:11" ht="12" customHeight="1">
      <c r="B898" s="206" t="s">
        <v>152</v>
      </c>
      <c r="C898" s="207" t="str" cm="1">
        <f t="array" ref="C898">IF(OR(D874=0,D875="　"),"",IF(MID(D875,4,1)="5","G5"&amp;_xlfn.SWITCH(1*MID(LEFT(D875, LEN(D875)-1),6,2),1,"01",2,"02",3,"03",4,"04",5,"07",6,"07",7,"07",8,"09",9,"09",10,"12",11,"12",12,"12"),"G6"&amp;_xlfn.SWITCH(1*MID(LEFT(D875, LEN(D875)-1),6,2),1,"01",2,"02",3,"03",4,"04",5,"07",6,"07",7,"07",8,"09",9,"09",10,"12",11,"12",12,"12",13,"14",14,"14"))&amp;"、S45C相当"&amp;IF(MID(D877,1,3)&lt;&gt;"アルミ","、防食：無電解Niめっき",""))</f>
        <v>G504、S45C相当、防食：無電解Niめっき</v>
      </c>
      <c r="D898" s="208"/>
      <c r="E898" s="209"/>
      <c r="F898" s="217" t="str">
        <f t="shared" si="35"/>
        <v>n=1</v>
      </c>
      <c r="G898" s="218"/>
      <c r="H898" s="219"/>
      <c r="I898" s="213" t="s">
        <v>13</v>
      </c>
      <c r="J898" s="220" t="str">
        <f>IF(OR(D874=0,D875="　"),"",MID(F898,3,2))</f>
        <v>1</v>
      </c>
      <c r="K898" s="214">
        <f>IFERROR(D874*J898,"")</f>
        <v>10</v>
      </c>
    </row>
    <row r="899" spans="2:11" ht="12" customHeight="1">
      <c r="B899" s="206" t="s">
        <v>7</v>
      </c>
      <c r="C899" s="207" t="str">
        <f>IF(OR(D874=0,D875="　"),"",IF(1*MID(D875,4,1)=5,"ECF12.7","ECF15.2")&amp;"、SCM415相当"&amp;IF(MID(D877,1,3)&lt;&gt;"アルミ","、防食：無電解Niめっき",""))</f>
        <v>ECF12.7、SCM415相当、防食：無電解Niめっき</v>
      </c>
      <c r="D899" s="208"/>
      <c r="E899" s="209"/>
      <c r="F899" s="217" t="str">
        <f t="shared" si="35"/>
        <v>n=1</v>
      </c>
      <c r="G899" s="218"/>
      <c r="H899" s="219"/>
      <c r="I899" s="213" t="s">
        <v>27</v>
      </c>
      <c r="J899" s="220" t="str">
        <f>IF(OR(D874=0,D875="　"),"",MID(F899,3,2))</f>
        <v>1</v>
      </c>
      <c r="K899" s="214">
        <f>IFERROR(D874*J899,"")</f>
        <v>10</v>
      </c>
    </row>
    <row r="900" spans="2:11" ht="12" customHeight="1">
      <c r="B900" s="206" t="s">
        <v>153</v>
      </c>
      <c r="C900" s="207" t="str" cm="1">
        <f t="array" ref="C900">IF(OR(D874=0,D875="　"),"",IF(MID(D875,4,1)="5","G5"&amp;_xlfn.SWITCH(1*MID(LEFT(D875, LEN(D875)-1),6,2),1,"01",2,"04",3,"03",4,"04",5,"07",6,"07",7,"07",8,"12",9,"12",10,"12",11,"12",12,"12"),"G6"&amp;_xlfn.SWITCH(1*MID(LEFT(D875, LEN(D875)-1),6,2),1,"01",2,"02",3,"03",4,"04",5,"07",6,"07",7,"07",8,"12",9,"12",10,"12",11,"12",12,"12",13,"14",14,"14"))&amp;"、SS400相当、防食："&amp;_xlfn.IFS(MID(D876,1,3)="防食Ⅱ","HDZT77めっき",MID(D876,5,2)="塩害","ｱﾙﾐﾅｲｽﾞ処理",MID(D876,5,2)="酸性","重防食処理"))</f>
        <v>G504、SS400相当、防食：HDZT77めっき</v>
      </c>
      <c r="D900" s="208"/>
      <c r="E900" s="209"/>
      <c r="F900" s="217" t="str">
        <f t="shared" si="35"/>
        <v>n=1</v>
      </c>
      <c r="G900" s="218"/>
      <c r="H900" s="219"/>
      <c r="I900" s="213" t="s">
        <v>16</v>
      </c>
      <c r="J900" s="220" t="str">
        <f>IF(OR(D874=0,D875="　"),"",MID(F900,3,2))</f>
        <v>1</v>
      </c>
      <c r="K900" s="214">
        <f>IFERROR(D874*J900,"")</f>
        <v>10</v>
      </c>
    </row>
    <row r="901" spans="2:11" ht="12" customHeight="1">
      <c r="B901" s="206" t="str">
        <f>IF(MID(D878,1,3)="のり面","管付","")&amp;"支圧板"</f>
        <v>管付支圧板</v>
      </c>
      <c r="C901" s="221" t="str" cm="1">
        <f t="array" ref="C901">IF(OR(D874=0,D875="　"),"","PL"&amp;IF(MID(D878,1,3)="のり面","P","")&amp;IF(MID(D875,4,1)="5","5-"&amp;_xlfn.SWITCH(1*MID(LEFT(D875, LEN(D875)-1),6,2),1,"1",2,"2",3,"3",4,"4",5,"5",6,"6",7,"7",8,"9",9,"9",10,"10",11,"11",12,"12"),"6-"&amp;_xlfn.SWITCH(1*MID(LEFT(D875, LEN(D875)-1),6,2),1,"1",2,"2",3,"3",4,"4",5,"6",6,"6",7,"7",8,"8",9,"9",10,"10",11,"11",12,"12",13,"14",14,"14"))&amp;"、SS400相当、防食："&amp;_xlfn.IFS(MID(D876,1,3)="防食Ⅱ","HDZT77めっき",MID(D876,5,2)="塩害","ｱﾙﾐﾅｲｽﾞ処理",MID(D876,5,2)="酸性","重防食処理"))</f>
        <v>PLP5-4、SS400相当、防食：HDZT77めっき</v>
      </c>
      <c r="D901" s="208"/>
      <c r="E901" s="209"/>
      <c r="F901" s="217" t="str">
        <f t="shared" si="35"/>
        <v>n=1</v>
      </c>
      <c r="G901" s="218"/>
      <c r="H901" s="219"/>
      <c r="I901" s="213" t="s">
        <v>16</v>
      </c>
      <c r="J901" s="220" t="str">
        <f>IF(OR(D874=0,D875="　"),"",MID(F901,3,2))</f>
        <v>1</v>
      </c>
      <c r="K901" s="214">
        <f>IFERROR(D874*J901,"")</f>
        <v>10</v>
      </c>
    </row>
    <row r="902" spans="2:11" ht="12" customHeight="1">
      <c r="B902" s="206" t="s">
        <v>154</v>
      </c>
      <c r="C902" s="207" t="str">
        <f>IF(OR(D874=0,D875="　"),"","G"&amp;MID(LEFT(D875, LEN(D875)-1),4,4)&amp;"、NBR45相当")</f>
        <v>G5-4、NBR45相当</v>
      </c>
      <c r="D902" s="208"/>
      <c r="E902" s="209"/>
      <c r="F902" s="217" t="str">
        <f t="shared" si="35"/>
        <v>n=1</v>
      </c>
      <c r="G902" s="218"/>
      <c r="H902" s="219"/>
      <c r="I902" s="213" t="s">
        <v>13</v>
      </c>
      <c r="J902" s="220" t="str">
        <f>IF(OR(D874=0,D875="　"),"",MID(F902,3,2))</f>
        <v>1</v>
      </c>
      <c r="K902" s="214">
        <f>IFERROR(D874*J902,"")</f>
        <v>10</v>
      </c>
    </row>
    <row r="903" spans="2:11" ht="12" customHeight="1">
      <c r="B903" s="206" t="str" cm="1">
        <f t="array" ref="B903">_xlfn.IFS(OR(D874=0,D875="　"),"",MID(D877,1,3)="アルミ","頭部防錆油",MID(D877,1,3)&lt;&gt;"アルミ","余長キャップ")</f>
        <v>余長キャップ</v>
      </c>
      <c r="C903" s="221" t="str" cm="1">
        <f t="array" ref="C903">_xlfn.IFS(OR(D874=0,D875="　"),"",MID(D877,1,3)="アルミ","PCコートC",MID(D877,1,3)&lt;&gt;"アルミ","TC"&amp;MID(D875,4,1)&amp;"、高密度ポチエチレン")</f>
        <v>TC5、高密度ポチエチレン</v>
      </c>
      <c r="D903" s="208"/>
      <c r="E903" s="209"/>
      <c r="F903" s="217" t="str" cm="1">
        <f t="array" ref="F903">_xlfn.IFS(OR(D874=0,D875="　"),"",MID(D877,1,3)="アルミ","W="&amp;IF(MID(D875,4,1)="5",_xlfn.SWITCH(1*MID(LEFT(D875, LEN(D875)-1),6,2),1,1.9,2,1.3,3,1.3,4,1.3,5,1.6,6,1.6,7,1.6,8,3.1,9,3.1,10,3.1,11,3.1,12,3.1),"G6"&amp;_xlfn.SWITCH(1*MID(LEFT(D875, LEN(D875)-1),6,2),1,1.8,2,1.3,3,1.8,4,1.8,5,3.3,6,3.3,7,3.3,8,9.9,9,9.9,10,9.9,11,9.9,12,9.9,13,9.9,14,9.9)),MID(D877,1,3)&lt;&gt;"アルミ","n=1")</f>
        <v>n=1</v>
      </c>
      <c r="G903" s="218"/>
      <c r="H903" s="219"/>
      <c r="I903" s="213" t="str" cm="1">
        <f t="array" ref="I903">_xlfn.IFS(OR(D874=0,D875="　"),"",MID(D877,1,3)="アルミ","kg",MID(D877,1,3)&lt;&gt;"アルミ","式")</f>
        <v>式</v>
      </c>
      <c r="J903" s="220" t="str">
        <f>IF(OR(D874=0,D875="　"),"",MID(F903,3,4))</f>
        <v>1</v>
      </c>
      <c r="K903" s="214">
        <f>IFERROR(D874*J903,"")</f>
        <v>10</v>
      </c>
    </row>
    <row r="904" spans="2:11" ht="12" customHeight="1">
      <c r="B904" s="206" t="s">
        <v>9</v>
      </c>
      <c r="C904" s="207" t="str" cm="1">
        <f t="array" ref="C904">IF(OR(D874=0,D875="　"),"",IF(MID(D875,4,1)="5","PS5-"&amp;_xlfn.SWITCH(1*MID(LEFT(D875, LEN(D875)-1),6,2),1,"7",2,"2",3,"3",4,"4",5,"7",6,"7",7,"7",8,"12",9,"12",10,"12",11,"12",12,"12"),"PS6-"&amp;_xlfn.SWITCH(1*MID(LEFT(D875, LEN(D875)-1),6,2),1,"7",2,"2",3,"3",4,"4",5,"7",6,"7",7,"7",8,"12",9,"12",10,"12",11,"12",12,"12",13,"14",14,"14"))&amp;"、高密度ポリエチレン")</f>
        <v>PS5-4、高密度ポリエチレン</v>
      </c>
      <c r="D904" s="208"/>
      <c r="E904" s="209"/>
      <c r="F904" s="217" t="str">
        <f>"n=1"</f>
        <v>n=1</v>
      </c>
      <c r="G904" s="218"/>
      <c r="H904" s="219"/>
      <c r="I904" s="213" t="s">
        <v>27</v>
      </c>
      <c r="J904" s="220" t="str">
        <f>IF(OR(D874=0,D875="　"),"",MID(F904,3,2))</f>
        <v>1</v>
      </c>
      <c r="K904" s="214">
        <f>IFERROR(D874*J904,"")</f>
        <v>10</v>
      </c>
    </row>
    <row r="905" spans="2:11" ht="12" customHeight="1">
      <c r="B905" s="206" t="s">
        <v>2</v>
      </c>
      <c r="C905" s="207" t="str" cm="1">
        <f t="array" ref="C905">IF(OR(D874=0,D875="　"),"",IF(MID(D875,4,1)="5","S5-"&amp;_xlfn.IFS(1*MID(LEFT(D875, LEN(D875)-1),6,2)&lt;6,"5",1*MID(LEFT(D875, LEN(D875)-1),6,2)&lt;9,"8",1*MID(LEFT(D875, LEN(D875)-1),6,2)&gt;8,"12"),"S6-"&amp;_xlfn.IFS(1*MID(LEFT(D875, LEN(D875)-1),6,2)&lt;4,"3",1*MID(LEFT(D875, LEN(D875)-1),6,2)&lt;7,"6",1*MID(LEFT(D875, LEN(D875)-1),6,2)&lt;10,"9",1*MID(LEFT(D875, LEN(D875)-1),6,2)&lt;13,"12",1*MID(LEFT(D875, LEN(D875)-1),6,2)&gt;12,"14"))&amp;"、ポリプロピレン")</f>
        <v>S5-5、ポリプロピレン</v>
      </c>
      <c r="D905" s="208"/>
      <c r="E905" s="209"/>
      <c r="F905" s="222" t="s">
        <v>155</v>
      </c>
      <c r="G905" s="211"/>
      <c r="H905" s="212"/>
      <c r="I905" s="213" t="s">
        <v>13</v>
      </c>
      <c r="J905" s="206">
        <f>IF(OR(D874=0,D875="　"),"",MROUND((D883-0.4)/1,1))</f>
        <v>4</v>
      </c>
      <c r="K905" s="214">
        <f>IFERROR(D874*J905,"")</f>
        <v>40</v>
      </c>
    </row>
    <row r="906" spans="2:11" ht="12" customHeight="1">
      <c r="B906" s="206" t="s">
        <v>1</v>
      </c>
      <c r="C906" s="207" t="str" cm="1">
        <f t="array" ref="C906">IF(OR(D874=0,D875="　"),"",IF(MID(D875,4,1)="5","PC5-"&amp;_xlfn.IFS(1*MID(LEFT(D875, LEN(D875)-1),6,2)&lt;5,"4",1*MID(LEFT(D875, LEN(D875)-1),6,2)&lt;8,"7",1*MID(LEFT(D875, LEN(D875)-1),6,2)&lt;10,"9",1*MID(LEFT(D875, LEN(D875)-1),6,2)&gt;9,"12"),"PC6-"&amp;_xlfn.IFS(1*MID(LEFT(D875, LEN(D875)-1),6,2)&lt;4,"3",1*MID(LEFT(D875, LEN(D875)-1),6,2)&lt;8,"7",1*MID(LEFT(D875, LEN(D875)-1),6,2)&lt;13,"12",1*MID(LEFT(D875, LEN(D875)-1),6,2)&gt;12,"14"))&amp;"、ポリプロピレン")</f>
        <v>PC5-4、ポリプロピレン</v>
      </c>
      <c r="D906" s="208"/>
      <c r="E906" s="209"/>
      <c r="F906" s="217" t="str">
        <f>"n=1"</f>
        <v>n=1</v>
      </c>
      <c r="G906" s="218"/>
      <c r="H906" s="219"/>
      <c r="I906" s="213" t="s">
        <v>13</v>
      </c>
      <c r="J906" s="220" t="str">
        <f>IF(OR(D874=0,D875="　"),"",MID(F906,3,2))</f>
        <v>1</v>
      </c>
      <c r="K906" s="214">
        <f>IFERROR(D874*J906,"")</f>
        <v>10</v>
      </c>
    </row>
    <row r="907" spans="2:11" ht="12" customHeight="1">
      <c r="B907" s="206" t="s">
        <v>3</v>
      </c>
      <c r="C907" s="207" t="str">
        <f>IF(OR(D874=0,D875="　"),"","66ナイロン")</f>
        <v>66ナイロン</v>
      </c>
      <c r="D907" s="208"/>
      <c r="E907" s="209"/>
      <c r="F907" s="222" t="s">
        <v>156</v>
      </c>
      <c r="G907" s="211"/>
      <c r="H907" s="212"/>
      <c r="I907" s="213" t="s">
        <v>14</v>
      </c>
      <c r="J907" s="206">
        <f>IF(OR(D874=0,D875="　"),"",2*J905)</f>
        <v>8</v>
      </c>
      <c r="K907" s="214">
        <f>IFERROR(D874*J907,"")</f>
        <v>80</v>
      </c>
    </row>
    <row r="908" spans="2:11" ht="12" customHeight="1">
      <c r="B908" s="206" t="s">
        <v>4</v>
      </c>
      <c r="C908" s="207" t="str">
        <f>IF(OR(D874=0,D875="　"),"","フィラメントテープ")</f>
        <v>フィラメントテープ</v>
      </c>
      <c r="D908" s="208"/>
      <c r="E908" s="209"/>
      <c r="F908" s="222" t="str">
        <f>IF(OR(D874=0,D875="　"),"","L=((自由長+緊張部長)÷@1.0m)×テープ係数"&amp;IF(MID(D875,4,1)="5",_xlfn.IFS(1*MID(LEFT(D875, LEN(D875)-1),6,2)&lt;4,"0.8",1*MID(LEFT(D875, LEN(D875)-1),6,2)&lt;7,"1.0",1*MID(LEFT(D875, LEN(D875)-1),6,2)&lt;10,"1.2",1*MID(LEFT(D875, LEN(D875)-1),6,2)&lt;13,"1.4"),_xlfn.IFS(1*MID(LEFT(D875, LEN(D875)-1),6,2)&lt;4,"1.0",1*MID(LEFT(D875, LEN(D875)-1),6,2)&lt;7,"1.2",1*MID(LEFT(D875, LEN(D875)-1),6,2)&lt;10,"1.4",1*MID(LEFT(D875, LEN(D875)-1),6,2)&lt;15,"1.8")))</f>
        <v>L=((自由長+緊張部長)÷@1.0m)×テープ係数1.0</v>
      </c>
      <c r="G908" s="211"/>
      <c r="H908" s="212"/>
      <c r="I908" s="213" t="s">
        <v>12</v>
      </c>
      <c r="J908" s="223">
        <f>IF(OR(D874=0,D875="　"),"",MROUND((SUM(D884,D885))/1*RIGHT(F908, 3),0.1))</f>
        <v>5.5</v>
      </c>
      <c r="K908" s="214">
        <f>IFERROR(D874*J908,"")</f>
        <v>55</v>
      </c>
    </row>
    <row r="909" spans="2:11" ht="12" customHeight="1">
      <c r="B909" s="206" t="s">
        <v>0</v>
      </c>
      <c r="C909" s="207" t="str">
        <f>IF(OR(D874=0,D875="　"),"","16/20、高密度ポリエチレン")</f>
        <v>16/20、高密度ポリエチレン</v>
      </c>
      <c r="D909" s="208"/>
      <c r="E909" s="209"/>
      <c r="F909" s="210" t="s">
        <v>33</v>
      </c>
      <c r="G909" s="211"/>
      <c r="H909" s="212"/>
      <c r="I909" s="213" t="s">
        <v>12</v>
      </c>
      <c r="J909" s="214">
        <f>IF(OR(D874=0,D875="　"),"",MROUND(D887,0.1))</f>
        <v>9.7000000000000011</v>
      </c>
      <c r="K909" s="214">
        <f>IFERROR(D874*J909,"")</f>
        <v>97.000000000000014</v>
      </c>
    </row>
    <row r="910" spans="2:11" ht="12" customHeight="1">
      <c r="B910" s="206" t="str" cm="1">
        <f t="array" ref="B910">_xlfn.IFS(OR(D874=0,D875="　",MID(D878,1,2)="なし",MID(D878,1,3)="受圧体"),"",MID(D878,1,3)="のり面","のり面角度台座",MID(D878,1,3)="構造物","構造物壁面台座",MID(D878,1,3)="土留め","土留め台座")</f>
        <v>のり面角度台座</v>
      </c>
      <c r="C910" s="210" t="str" cm="1">
        <f t="array" ref="C910">IF(OR(D874=0,D875="　",MID(D878,1,2)="なし",MID(D878,1,3)="受圧体"),"",_xlfn.IFS(MID(D878,1,3)="のり面",IF(1*MID(D875,4,1)=5,_xlfn.IFS(1*MID(LEFT(D875, LEN(D875)-1),6,2)&lt;5,"ST140",1*MID(LEFT(D875, LEN(D875)-1),6,2)&lt;8,"ST170",1*MID(LEFT(D875, LEN(D875)-1),6,2)&lt;13,"ST220"),_xlfn.IFS(1*MID(LEFT(D875, LEN(D875)-1),6,2)&lt;4,"ST140",1*MID(LEFT(D875, LEN(D875)-1),6,2)&lt;5,"ST170",1*MID(LEFT(D875, LEN(D875)-1),6,2)&lt;8,"ST220",1*MID(LEFT(D875, LEN(D875)-1),6,2)&lt;15,"非該当"))&amp;"、FCD450相当、防食："&amp;_xlfn.IFS(MID(D876,1,3)="防食Ⅱ","HDZT77めっき",MID(D876,5,2)="塩害","ｱﾙﾐﾅｲｽﾞ処理",MID(D876,5,2)="酸性","重防食処理"),OR(MID(D878,1,3)="構造物",MID(D878,1,3)="土留め"),D875&amp;"用"&amp;IF(OR(MID(D878,1,3)="構造物",D879="　"),"",D879)&amp;"、防食："&amp;_xlfn.IFS(MID(D876,1,3)="防食Ⅱ","HDZT77めっき",MID(D876,5,2)="塩害","ｱﾙﾐﾅｲｽﾞ処理",MID(D876,5,2)="酸性","重防食処理")))</f>
        <v>ST140、FCD450相当、防食：HDZT77めっき</v>
      </c>
      <c r="D910" s="208"/>
      <c r="E910" s="209"/>
      <c r="F910" s="217" t="str">
        <f>IF(OR(D878="なし",D878="受圧体のみ"),"","n=1")</f>
        <v>n=1</v>
      </c>
      <c r="G910" s="218"/>
      <c r="H910" s="219"/>
      <c r="I910" s="213" t="str">
        <f>IF(OR(D874=0,D875="　",B910=""),"","台")</f>
        <v>台</v>
      </c>
      <c r="J910" s="220" t="str">
        <f>IF(OR(D874=0,D875="　"),"",MID(F910,3,2))</f>
        <v>1</v>
      </c>
      <c r="K910" s="214">
        <f>IFERROR(D874*J910,"")</f>
        <v>10</v>
      </c>
    </row>
    <row r="911" spans="2:11" ht="12" customHeight="1">
      <c r="B911" s="206" t="str">
        <f>IF(OR(D874=0,D875="　",MID(D878,1,3)&lt;&gt;"のり面"),"","補剛板")</f>
        <v>補剛板</v>
      </c>
      <c r="C911" s="210" t="str" cm="1">
        <f t="array" ref="C911">IF(OR(D874=0,D875="　",MID(D878,1,3)&lt;&gt;"のり面"),"",IF(MID(D875,4,1)="5","□"&amp;_xlfn.SWITCH(1*MID(LEFT(D875, LEN(D875)-1),6,2),1,"210φ131t12",2,"210φ131t12",3,"240φ131t12",4,"270φ131t12",5,"280φ143t12",6,"310φ143t16",7,"350φ143t19",8,"350φ180t19",9,"350φ180t19",10,"350φ180t19",11,"350φ180t22",12,"350φ180t22"),"□"&amp;_xlfn.SWITCH(1*MID(LEFT(D875, LEN(D875)-1),6,2),1,"210,φ131,t12",2,"240,φ131,t12",3,"270,φ131,t16",4,"300,φ143,t16",5,"350,φ180,t16",6,"350,φ180,t16",7,"350,φ180,t19",8,"400,φ──,t12",9,"400,φ──,t12",10,"400,φ──,t12",11,"400,φ──,t12",12,"400,φ──,t12",13,"400,φ──,t12",14,"400,φ──,t12"))&amp;"、SS400相当、防食："&amp;_xlfn.IFS(MID(D876,1,3)="防食Ⅱ","HDZT77めっき",MID(D876,5,2)="塩害","ｱﾙﾐﾅｲｽﾞ処理",MID(D876,5,2)="酸性","重防食処理"))</f>
        <v>□270φ131t12、SS400相当、防食：HDZT77めっき</v>
      </c>
      <c r="D911" s="208"/>
      <c r="E911" s="209"/>
      <c r="F911" s="217" t="str">
        <f>IF(OR(D874=0,D875="　",MID(D878,1,3)&lt;&gt;"のり面"),"","n=1")</f>
        <v>n=1</v>
      </c>
      <c r="G911" s="218"/>
      <c r="H911" s="219"/>
      <c r="I911" s="213" t="str">
        <f>IF(OR(D874=0,D875="　",B911="",MID(D878,1,3)&lt;&gt;"のり面"),"","枚")</f>
        <v>枚</v>
      </c>
      <c r="J911" s="220" t="str">
        <f>IF(OR(D874=0,D875="　"),"",MID(F911,3,2))</f>
        <v>1</v>
      </c>
      <c r="K911" s="214">
        <f>IFERROR(D874*J911,"")</f>
        <v>10</v>
      </c>
    </row>
    <row r="912" spans="2:11" ht="12" customHeight="1">
      <c r="B912" s="206" t="str" cm="1">
        <f t="array" ref="B912">_xlfn.IFS(OR(D874=0,D875="　"),"",MID(D877,1,3)="アルミ","",MID(D877,1,3)&lt;&gt;"アルミ","テンドン補修用塗料")</f>
        <v>テンドン補修用塗料</v>
      </c>
      <c r="C912" s="210" t="str" cm="1">
        <f t="array" ref="C912">_xlfn.IFS(OR(D874=0,D875="　"),"",MID(D877,1,3)="アルミ","",MID(D877,1,3)&lt;&gt;"アルミ","エポキシ樹脂")</f>
        <v>エポキシ樹脂</v>
      </c>
      <c r="D912" s="208"/>
      <c r="E912" s="209"/>
      <c r="F912" s="217" t="str" cm="1">
        <f t="array" ref="F912">_xlfn.IFS(OR(D874=0,D875="　"),"",MID(D877,1,3)="アルミ","",MID(D877,1,3)&lt;&gt;"アルミ","W=ceiling(N×PC鋼より線本数×"&amp;IF(MID(D875,4,1)="5","0.0006","0.0009")&amp;",1.0)/N")</f>
        <v>W=ceiling(N×PC鋼より線本数×0.0006,1.0)/N</v>
      </c>
      <c r="G912" s="218"/>
      <c r="H912" s="219"/>
      <c r="I912" s="213" t="str" cm="1">
        <f t="array" ref="I912">_xlfn.IFS(OR(D874=0,D875="　"),"",MID(D877,1,3)="アルミ","",MID(D877,1,3)&lt;&gt;"アルミ","g")</f>
        <v>g</v>
      </c>
      <c r="J912" s="224" cm="1">
        <f t="array" ref="J912">_xlfn.IFS(OR(D874=0,D875="　"),"",MID(D877,1,3)="アルミ","",MID(D877,1,3)&lt;&gt;"アルミ",CEILING(D874*MID(LEFT(D875, LEN(D875)-1),6,2)*IF(MID(D875,4,1)="5",0.006,0.009),1)/D874)</f>
        <v>0.1</v>
      </c>
      <c r="K912" s="214">
        <f>IFERROR(D874*J912,"")</f>
        <v>1</v>
      </c>
    </row>
    <row r="913" spans="2:11" ht="12" customHeight="1">
      <c r="B913" s="206" t="str" cm="1">
        <f t="array" ref="B913">_xlfn.IFS(OR(D874=0,D875="　"),"",MID(D877,1,3)="アルミ","",MID(D877,1,3)&lt;&gt;"アルミ","長期防錆スプレー")</f>
        <v>長期防錆スプレー</v>
      </c>
      <c r="C913" s="210" t="str" cm="1">
        <f t="array" ref="C913">_xlfn.IFS(OR(D874=0,D875="　"),"",MID(D877,1,3)="アルミ","",MID(D877,1,3)&lt;&gt;"アルミ","防錆オイル")</f>
        <v>防錆オイル</v>
      </c>
      <c r="D913" s="208"/>
      <c r="E913" s="209"/>
      <c r="F913" s="217" t="str" cm="1">
        <f t="array" ref="F913">_xlfn.IFS(OR(D874=0,D875="　"),"",MID(D877,1,3)="アルミ","",MID(D877,1,3)&lt;&gt;"アルミ","n=ceiling(N×0.01×(PC鋼より線本数+"&amp;IF(MID(D875,4,1)="5","6","12")&amp;"),1.0)/N")</f>
        <v>n=ceiling(N×0.01×(PC鋼より線本数+6),1.0)/N</v>
      </c>
      <c r="G913" s="218"/>
      <c r="H913" s="219"/>
      <c r="I913" s="213" t="str" cm="1">
        <f t="array" ref="I913">_xlfn.IFS(OR(D874=0,D875="　"),"",MID(D877,1,3)="アルミ","",MID(D877,1,3)&lt;&gt;"アルミ","缶")</f>
        <v>缶</v>
      </c>
      <c r="J913" s="224" cm="1">
        <f t="array" ref="J913">_xlfn.IFS(OR(D874=0,D875="　"),"",MID(D877,1,3)="アルミ","",MID(D877,1,3)&lt;&gt;"アルミ",CEILING(D874*0.01*(MID(LEFT(D875, LEN(D875)-1),6,2)+IF(MID(D875,4,1)="5",6,12)),1)/D874)</f>
        <v>0.1</v>
      </c>
      <c r="K913" s="214">
        <f>IFERROR(D874*J913,"")</f>
        <v>1</v>
      </c>
    </row>
    <row r="914" spans="2:11" ht="12" customHeight="1">
      <c r="B914" s="206" t="str">
        <f>IF(OR(D874=0,D875="　",D880="なし"),"","フリーパッカー注入ホース")</f>
        <v/>
      </c>
      <c r="C914" s="207" t="str">
        <f>IF(OR(D874=0,D875="　",B914=""),"","16/20、高密度ポリエチレン")</f>
        <v/>
      </c>
      <c r="D914" s="208"/>
      <c r="E914" s="209"/>
      <c r="F914" s="210" t="str">
        <f>IF(B914="","","L=自由長+緊張部長")</f>
        <v/>
      </c>
      <c r="G914" s="211"/>
      <c r="H914" s="212"/>
      <c r="I914" s="213" t="str">
        <f>IF(OR(D874=0,D875="　",B914=""),"","m")</f>
        <v/>
      </c>
      <c r="J914" s="214" t="str">
        <f>IF(OR(D874=0,D875="　"),"",IF(B914="","",MROUND(D884+D885,0.1)))</f>
        <v/>
      </c>
      <c r="K914" s="214" t="str">
        <f>IFERROR(D874*J914,"")</f>
        <v/>
      </c>
    </row>
    <row r="915" spans="2:11" ht="12" customHeight="1">
      <c r="B915" s="225" t="str">
        <f>IF(OR(D874=0,D875="　",D880="なし"),"","フリーパッカー")</f>
        <v/>
      </c>
      <c r="C915" s="217" t="str" cm="1">
        <f t="array" ref="C915">IF(OR(D874=0,D875="　",B914=""),"",_xlfn.SWITCH(D889,90,"PA-170",115,"PA-200",135,"PA-240",146,"PA-240",165,"PA-350")&amp;"、織布")</f>
        <v/>
      </c>
      <c r="D915" s="208"/>
      <c r="E915" s="209"/>
      <c r="F915" s="226" t="str">
        <f>IF(B915="","","L=自由長+0.5m")</f>
        <v/>
      </c>
      <c r="G915" s="227"/>
      <c r="H915" s="228"/>
      <c r="I915" s="213" t="str">
        <f>IF(OR(D875=0,D876="　",B915=""),"","m")</f>
        <v/>
      </c>
      <c r="J915" s="214" t="str">
        <f>IF(OR(D874=0,D875="　"),"",IF(B915="","",MROUND(D884+0.5,0.1)))</f>
        <v/>
      </c>
      <c r="K915" s="214" t="str">
        <f>IFERROR(D874*J915,"")</f>
        <v/>
      </c>
    </row>
    <row r="916" spans="2:11" ht="12" customHeight="1">
      <c r="B916" s="206" t="str">
        <f>IF(OR(D874=0,D875="　",D880="なし"),"","パッカー取付加工")</f>
        <v/>
      </c>
      <c r="C916" s="207"/>
      <c r="D916" s="208"/>
      <c r="E916" s="209"/>
      <c r="F916" s="217" t="str">
        <f>IF(B916="","","n=1")</f>
        <v/>
      </c>
      <c r="G916" s="218"/>
      <c r="H916" s="219"/>
      <c r="I916" s="213" t="str">
        <f>IF(OR(D876=0,D877="　",B916=""),"","式")</f>
        <v/>
      </c>
      <c r="J916" s="220" t="str">
        <f>IF(OR(D874=0,D875="　"),"",MID(F916,3,2))</f>
        <v/>
      </c>
      <c r="K916" s="206" t="str">
        <f>IFERROR(D874*J916,"")</f>
        <v/>
      </c>
    </row>
    <row r="917" spans="2:11" ht="12" customHeight="1">
      <c r="B917" s="229"/>
      <c r="C917" s="230"/>
      <c r="D917" s="231"/>
      <c r="E917" s="232"/>
      <c r="F917" s="233"/>
      <c r="G917" s="234"/>
      <c r="H917" s="235"/>
      <c r="I917" s="236"/>
      <c r="J917" s="237"/>
      <c r="K917" s="229"/>
    </row>
    <row r="918" spans="2:11" ht="12" customHeight="1">
      <c r="B918" s="238" t="s">
        <v>30</v>
      </c>
      <c r="C918" s="239" t="s">
        <v>31</v>
      </c>
      <c r="D918" s="240"/>
      <c r="E918" s="241"/>
      <c r="F918" s="242" t="s">
        <v>157</v>
      </c>
      <c r="G918" s="243"/>
      <c r="H918" s="244"/>
      <c r="I918" s="245" t="s">
        <v>55</v>
      </c>
      <c r="J918" s="246">
        <f>IFERROR(MROUND(0.25*PI()*(0.001*D889)^2*(D882+D883+D888)*(1+2.2),0.01),"")</f>
        <v>0.17</v>
      </c>
      <c r="K918" s="246">
        <f>IFERROR(D874*J918,"")</f>
        <v>1.7000000000000002</v>
      </c>
    </row>
    <row r="920" spans="2:11" ht="12" customHeight="1">
      <c r="B920" s="247" t="s">
        <v>136</v>
      </c>
      <c r="C920" s="247"/>
      <c r="D920" s="247"/>
      <c r="F920" s="163"/>
      <c r="G920" s="164"/>
      <c r="H920" s="164"/>
    </row>
    <row r="921" spans="2:11" ht="12" customHeight="1">
      <c r="B921" s="15" t="s">
        <v>111</v>
      </c>
      <c r="C921" s="15"/>
      <c r="D921" s="1"/>
      <c r="E921" s="1"/>
      <c r="H921" s="119"/>
      <c r="J921" s="118"/>
    </row>
    <row r="922" spans="2:11" ht="12" customHeight="1">
      <c r="B922" s="165" t="s">
        <v>166</v>
      </c>
      <c r="C922" s="3"/>
      <c r="D922" s="1"/>
      <c r="E922" s="1"/>
      <c r="F922" s="8"/>
      <c r="G922" s="8"/>
      <c r="H922" s="102"/>
      <c r="I922" s="28"/>
      <c r="J922" s="118"/>
    </row>
    <row r="923" spans="2:11" ht="12" customHeight="1">
      <c r="B923" s="15" t="s">
        <v>40</v>
      </c>
      <c r="C923" s="3"/>
      <c r="D923" s="1"/>
      <c r="E923" s="1"/>
      <c r="F923" s="15" t="s">
        <v>54</v>
      </c>
      <c r="G923" s="15"/>
      <c r="H923" s="102"/>
      <c r="I923" s="28"/>
    </row>
    <row r="924" spans="2:11" ht="12" customHeight="1">
      <c r="B924" s="2" t="s">
        <v>53</v>
      </c>
      <c r="C924" s="2" t="s">
        <v>21</v>
      </c>
      <c r="D924" s="2" t="s">
        <v>22</v>
      </c>
      <c r="E924" s="17"/>
      <c r="F924" s="49" t="s">
        <v>41</v>
      </c>
      <c r="G924" s="97" t="s">
        <v>59</v>
      </c>
      <c r="H924" s="49" t="s">
        <v>44</v>
      </c>
      <c r="I924" s="2" t="s">
        <v>21</v>
      </c>
      <c r="J924" s="49" t="s">
        <v>138</v>
      </c>
      <c r="K924" s="2" t="s">
        <v>28</v>
      </c>
    </row>
    <row r="925" spans="2:11" ht="12" customHeight="1">
      <c r="B925" s="166" t="s">
        <v>25</v>
      </c>
      <c r="C925" s="18" t="s">
        <v>24</v>
      </c>
      <c r="D925" s="167">
        <v>10</v>
      </c>
      <c r="E925" s="19"/>
      <c r="F925" s="168" t="s">
        <v>43</v>
      </c>
      <c r="G925" s="169" t="s">
        <v>113</v>
      </c>
      <c r="H925" s="88" t="str" cm="1">
        <f t="array" ref="H925">_xlfn.IFS(AND(F925&lt;&gt;"非削孔",F925&lt;&gt;"無設定"),D940,F925="非削孔",IF(MID(D929,1,3)="土留め","非削孔","箱抜き"),F925="無設定","無設定")</f>
        <v>箱抜き</v>
      </c>
      <c r="I925" s="23" t="str">
        <f>IF(F925="無設定","","m")</f>
        <v>m</v>
      </c>
      <c r="J925" s="170">
        <v>0.5</v>
      </c>
      <c r="K925" s="30">
        <f>D925*J925</f>
        <v>5</v>
      </c>
    </row>
    <row r="926" spans="2:11" ht="12" customHeight="1">
      <c r="B926" s="171" t="s">
        <v>37</v>
      </c>
      <c r="C926" s="50" t="s">
        <v>38</v>
      </c>
      <c r="D926" s="172" t="s">
        <v>159</v>
      </c>
      <c r="E926" s="173"/>
      <c r="F926" s="174" t="s">
        <v>49</v>
      </c>
      <c r="G926" s="169" t="s">
        <v>114</v>
      </c>
      <c r="H926" s="88" cm="1">
        <f t="array" ref="H926">_xlfn.IFS(AND(F926&lt;&gt;"非削孔",F926&lt;&gt;"無設定"),D940,F926="非削孔","箱抜き",F926="無設定","無設定")</f>
        <v>90</v>
      </c>
      <c r="I926" s="23" t="str">
        <f t="shared" ref="I926:I934" si="36">IF(F926="無設定","","m")</f>
        <v>m</v>
      </c>
      <c r="J926" s="170">
        <v>2.64</v>
      </c>
      <c r="K926" s="30">
        <f>D925*J926</f>
        <v>26.400000000000002</v>
      </c>
    </row>
    <row r="927" spans="2:11" ht="12" customHeight="1">
      <c r="B927" s="52" t="s">
        <v>39</v>
      </c>
      <c r="C927" s="91" t="s">
        <v>38</v>
      </c>
      <c r="D927" s="175" t="s">
        <v>60</v>
      </c>
      <c r="E927" s="140"/>
      <c r="F927" s="174" t="s">
        <v>49</v>
      </c>
      <c r="G927" s="169" t="s">
        <v>115</v>
      </c>
      <c r="H927" s="88" cm="1">
        <f t="array" ref="H927">_xlfn.IFS(AND(F927&lt;&gt;"非削孔",F927&lt;&gt;"無設定"),D940,F927="非削孔","箱抜き",F927="無設定","無設定")</f>
        <v>90</v>
      </c>
      <c r="I927" s="23" t="str">
        <f t="shared" si="36"/>
        <v>m</v>
      </c>
      <c r="J927" s="170">
        <v>5.36</v>
      </c>
      <c r="K927" s="30">
        <f>D925*J927</f>
        <v>53.6</v>
      </c>
    </row>
    <row r="928" spans="2:11" ht="12" customHeight="1">
      <c r="B928" s="147" t="s">
        <v>140</v>
      </c>
      <c r="C928" s="91" t="s">
        <v>38</v>
      </c>
      <c r="D928" s="176" t="s">
        <v>141</v>
      </c>
      <c r="E928" s="141"/>
      <c r="F928" s="174" t="s">
        <v>48</v>
      </c>
      <c r="G928" s="169"/>
      <c r="H928" s="88" t="str" cm="1">
        <f t="array" ref="H928">_xlfn.IFS(AND(F928&lt;&gt;"非削孔",F928&lt;&gt;"無設定"),D940,F928="非削孔","箱抜き",F928="無設定","無設定")</f>
        <v>無設定</v>
      </c>
      <c r="I928" s="23" t="str">
        <f t="shared" si="36"/>
        <v/>
      </c>
      <c r="J928" s="170">
        <v>0</v>
      </c>
      <c r="K928" s="30">
        <f>D925*J928</f>
        <v>0</v>
      </c>
    </row>
    <row r="929" spans="2:11" ht="12" customHeight="1">
      <c r="B929" s="147" t="s">
        <v>142</v>
      </c>
      <c r="C929" s="91" t="s">
        <v>38</v>
      </c>
      <c r="D929" s="177" t="s">
        <v>160</v>
      </c>
      <c r="E929" s="21"/>
      <c r="F929" s="174" t="s">
        <v>48</v>
      </c>
      <c r="G929" s="169"/>
      <c r="H929" s="88" t="str" cm="1">
        <f t="array" ref="H929">_xlfn.IFS(AND(F929&lt;&gt;"非削孔",F929&lt;&gt;"無設定"),D940,F929="非削孔","箱抜き",F929="無設定","無設定")</f>
        <v>無設定</v>
      </c>
      <c r="I929" s="23" t="str">
        <f t="shared" si="36"/>
        <v/>
      </c>
      <c r="J929" s="170">
        <v>0</v>
      </c>
      <c r="K929" s="30">
        <f>D925*J929</f>
        <v>0</v>
      </c>
    </row>
    <row r="930" spans="2:11" ht="12" customHeight="1">
      <c r="B930" s="114" t="str">
        <f>IF(MID(D929,1,3)="土留め",D929&amp;"の種類","")</f>
        <v/>
      </c>
      <c r="C930" s="91" t="s">
        <v>38</v>
      </c>
      <c r="D930" s="178" t="s">
        <v>71</v>
      </c>
      <c r="E930" s="21"/>
      <c r="F930" s="174" t="s">
        <v>48</v>
      </c>
      <c r="G930" s="169"/>
      <c r="H930" s="88" t="str" cm="1">
        <f t="array" ref="H930">_xlfn.IFS(AND(F930&lt;&gt;"非削孔",F930&lt;&gt;"無設定"),D940,F930="非削孔","箱抜き",F930="無設定","無設定")</f>
        <v>無設定</v>
      </c>
      <c r="I930" s="23" t="str">
        <f t="shared" si="36"/>
        <v/>
      </c>
      <c r="J930" s="170">
        <v>0</v>
      </c>
      <c r="K930" s="30">
        <f>D925*J930</f>
        <v>0</v>
      </c>
    </row>
    <row r="931" spans="2:11" ht="12" customHeight="1">
      <c r="B931" s="179" t="s">
        <v>50</v>
      </c>
      <c r="C931" s="180" t="s">
        <v>38</v>
      </c>
      <c r="D931" s="181" t="s">
        <v>51</v>
      </c>
      <c r="E931" s="182"/>
      <c r="F931" s="174" t="s">
        <v>48</v>
      </c>
      <c r="G931" s="169"/>
      <c r="H931" s="88" t="str" cm="1">
        <f t="array" ref="H931">_xlfn.IFS(AND(F931&lt;&gt;"非削孔",F931&lt;&gt;"無設定"),D940,F931="非削孔","箱抜き",F931="無設定","無設定")</f>
        <v>無設定</v>
      </c>
      <c r="I931" s="23" t="str">
        <f t="shared" si="36"/>
        <v/>
      </c>
      <c r="J931" s="170">
        <v>0</v>
      </c>
      <c r="K931" s="30">
        <f>D925*J931</f>
        <v>0</v>
      </c>
    </row>
    <row r="932" spans="2:11" ht="12" customHeight="1">
      <c r="B932" s="160" t="str" cm="1">
        <f t="array" ref="B932">"頭部自由長"&amp;_xlfn.IFS(MID(D929,1,2)="なし","",MID(D929,1,3)="受圧体","(受圧体)",MID(D929,1,3)="のり面","(角度台座＋受圧体)",MID(D929,1,3)="構造物","(壁面台座)",MID(D929,1,3)="土留め","(台座+腹起し)")&amp;"　Lfh"</f>
        <v>頭部自由長(角度台座＋受圧体)　Lfh</v>
      </c>
      <c r="C932" s="155" t="s">
        <v>23</v>
      </c>
      <c r="D932" s="183">
        <v>0.5</v>
      </c>
      <c r="E932" s="21"/>
      <c r="F932" s="174" t="s">
        <v>144</v>
      </c>
      <c r="G932" s="169"/>
      <c r="H932" s="88" cm="1">
        <f t="array" ref="H932">_xlfn.IFS(AND(F932&lt;&gt;"非削孔",F932&lt;&gt;"無設定"),D940,F932="非削孔","箱抜き",F932="無設定","無設定")</f>
        <v>90</v>
      </c>
      <c r="I932" s="23" t="str">
        <f t="shared" si="36"/>
        <v>m</v>
      </c>
      <c r="J932" s="170">
        <v>0</v>
      </c>
      <c r="K932" s="30">
        <f>D925*J932</f>
        <v>0</v>
      </c>
    </row>
    <row r="933" spans="2:11" ht="12" customHeight="1">
      <c r="B933" s="22" t="s">
        <v>108</v>
      </c>
      <c r="C933" s="23" t="s">
        <v>23</v>
      </c>
      <c r="D933" s="184">
        <v>4</v>
      </c>
      <c r="E933" s="21"/>
      <c r="F933" s="174" t="s">
        <v>48</v>
      </c>
      <c r="G933" s="169"/>
      <c r="H933" s="88" t="str" cm="1">
        <f t="array" ref="H933">_xlfn.IFS(AND(F933&lt;&gt;"非削孔",F933&lt;&gt;"無設定"),D940,F933="非削孔","箱抜き",F933="無設定","無設定")</f>
        <v>無設定</v>
      </c>
      <c r="I933" s="23" t="str">
        <f t="shared" si="36"/>
        <v/>
      </c>
      <c r="J933" s="170">
        <v>0</v>
      </c>
      <c r="K933" s="30">
        <f>D925*J933</f>
        <v>0</v>
      </c>
    </row>
    <row r="934" spans="2:11" ht="12" customHeight="1">
      <c r="B934" s="157" t="s">
        <v>36</v>
      </c>
      <c r="C934" s="158" t="s">
        <v>23</v>
      </c>
      <c r="D934" s="185">
        <v>4</v>
      </c>
      <c r="F934" s="186" t="str" cm="1">
        <f t="array" ref="F934">INDEX(F925:H933,MATCH("無設定",F925:F933,0)-1,MATCH(F924,F924:H924,0))</f>
        <v>軟　岩</v>
      </c>
      <c r="G934" s="100" t="str" cm="1">
        <f t="array" ref="G934">INDEX(F925:H933,MATCH("無設定",F925:F933,0)-1,MATCH(G924,F924:H924,0))&amp;"　(先端長 L2d)"</f>
        <v>風化岩 CL　(先端長 L2d)</v>
      </c>
      <c r="H934" s="88" cm="1">
        <f t="array" ref="H934">INDEX(F925:H933,MATCH("無設定",F925:F933,0)-1,MATCH(H924,F924:H924,0))</f>
        <v>90</v>
      </c>
      <c r="I934" s="23" t="str">
        <f t="shared" si="36"/>
        <v>m</v>
      </c>
      <c r="J934" s="98">
        <f>D939</f>
        <v>0.25</v>
      </c>
      <c r="K934" s="78">
        <f>IFERROR(D925*J934,"")</f>
        <v>2.5</v>
      </c>
    </row>
    <row r="935" spans="2:11" ht="12" customHeight="1">
      <c r="B935" s="154" t="s">
        <v>145</v>
      </c>
      <c r="C935" s="155" t="s">
        <v>23</v>
      </c>
      <c r="D935" s="187">
        <f>IF(OR(D925=0,D926="　"),"──",SUM(D932:D933))</f>
        <v>4.5</v>
      </c>
      <c r="E935" s="19"/>
      <c r="F935" s="188"/>
      <c r="G935" s="103" t="s">
        <v>124</v>
      </c>
      <c r="H935" s="103"/>
      <c r="I935" s="18" t="s">
        <v>23</v>
      </c>
      <c r="J935" s="74">
        <f>SUMIFS(J925:J934,F925:F934,"&lt;&gt;非削孔",F925:F934,"&lt;&gt;無設定")</f>
        <v>8.25</v>
      </c>
      <c r="K935" s="95">
        <f>SUMIFS(K925:K934,F925:F934,"&lt;&gt;非削孔",F925:F934,"&lt;&gt;無設定")</f>
        <v>82.5</v>
      </c>
    </row>
    <row r="936" spans="2:11" ht="12" customHeight="1">
      <c r="B936" s="146" t="s">
        <v>146</v>
      </c>
      <c r="C936" s="23" t="s">
        <v>23</v>
      </c>
      <c r="D936" s="189" cm="1">
        <f t="array" ref="D936">IF(OR(D925=0,D926="　"),"──",IF(MID(D926,4,1)="5",_xlfn.IFS(1*MID(LEFT(D926, LEN(D926)-1),6,2)&lt;8,1,1*MID(LEFT(D926, LEN(D926)-1),6,2)&lt;13,1.2),_xlfn.IFS(1*MID(LEFT(D926, LEN(D926)-1),6,2)&lt;6,1,1*MID(LEFT(D926, LEN(D926)-1),6,2)&lt;15,1.2)))</f>
        <v>1</v>
      </c>
      <c r="E936" s="19"/>
      <c r="F936" s="190"/>
      <c r="G936" s="104" t="s">
        <v>47</v>
      </c>
      <c r="H936" s="104"/>
      <c r="I936" s="79" t="s">
        <v>46</v>
      </c>
      <c r="J936" s="77" t="str">
        <f>IF(OR(D925=0,D926="　"),"",IF(SUM(D933:D934,D939)=J935,"OK","NG"))</f>
        <v>OK</v>
      </c>
      <c r="K936" s="145" t="str">
        <f>IF(J936&lt;&gt;"NG","──",J935-SUM(D933:D934,D939))</f>
        <v>──</v>
      </c>
    </row>
    <row r="937" spans="2:11" ht="12" customHeight="1">
      <c r="B937" s="22" t="s">
        <v>125</v>
      </c>
      <c r="C937" s="23" t="s">
        <v>35</v>
      </c>
      <c r="D937" s="84">
        <f>IF(OR(D925=0,D926="　"),"──",0.2)</f>
        <v>0.2</v>
      </c>
      <c r="F937" s="191" t="s">
        <v>58</v>
      </c>
      <c r="G937" s="248" t="s">
        <v>110</v>
      </c>
      <c r="H937" s="249"/>
      <c r="I937" s="249"/>
      <c r="J937" s="249"/>
      <c r="K937" s="250"/>
    </row>
    <row r="938" spans="2:11" ht="12" customHeight="1">
      <c r="B938" s="6" t="s">
        <v>147</v>
      </c>
      <c r="C938" s="23" t="s">
        <v>23</v>
      </c>
      <c r="D938" s="60">
        <f>IF(OR(D925=0,D926="　"),"──",SUM(D934:D937))</f>
        <v>9.6999999999999993</v>
      </c>
    </row>
    <row r="939" spans="2:11" ht="12" customHeight="1">
      <c r="B939" s="25" t="s">
        <v>127</v>
      </c>
      <c r="C939" s="26" t="s">
        <v>23</v>
      </c>
      <c r="D939" s="27">
        <f>IF(OR(D925=0,D926="　"),"──",0.25)</f>
        <v>0.25</v>
      </c>
      <c r="F939" s="8"/>
      <c r="G939" s="8"/>
      <c r="H939" s="102"/>
    </row>
    <row r="940" spans="2:11" ht="12" customHeight="1">
      <c r="B940" s="95" t="s">
        <v>123</v>
      </c>
      <c r="C940" s="18" t="s">
        <v>32</v>
      </c>
      <c r="D940" s="192">
        <v>90</v>
      </c>
      <c r="E940" s="193" t="str">
        <f>IF(D940&lt;D941,"NG：削孔径不適合","")</f>
        <v/>
      </c>
      <c r="F940" s="8"/>
      <c r="G940" s="8"/>
      <c r="H940" s="102"/>
    </row>
    <row r="941" spans="2:11" ht="12" customHeight="1">
      <c r="B941" s="25" t="s">
        <v>122</v>
      </c>
      <c r="C941" s="26" t="s">
        <v>32</v>
      </c>
      <c r="D941" s="194" cm="1">
        <f t="array" ref="D941">IF(OR(D925=0,D926="　"),"──",IF(D931="なし",IF(MID(D926,4,1)="5",_xlfn.IFS(1*MID(LEFT(D926, LEN(D926)-1),6,2)&lt;6,90,1*MID(LEFT(D926, LEN(D926)-1),6,2)&lt;9,115,1*MID(LEFT(D926, LEN(D926)-1),6,2)&gt;8,135),_xlfn.IFS(1*MID(LEFT(D926, LEN(D926)-1),6,2)&lt;4,90,1*MID(LEFT(D926, LEN(D926)-1),6,2)&lt;7,115,1*MID(LEFT(D926, LEN(D926)-1),6,2)&lt;10,135,1*MID(LEFT(D926, LEN(D926)-1),6,2)&lt;13,146,1*MID(LEFT(D926, LEN(D926)-1),6,2)&gt;12,165)),IF(MID(D926,4,1)="5",_xlfn.IFS(1*MID(LEFT(D926, LEN(D926)-1),6,2)&lt;3,90,1*MID(LEFT(D926, LEN(D926)-1),6,2)&lt;7,115,1*MID(LEFT(D926, LEN(D926)-1),6,2)&lt;9,135,1*MID(LEFT(D926, LEN(D926)-1),6,2)&gt;8,146),_xlfn.IFS(1*MID(LEFT(D926, LEN(D926)-1),6,2)&lt;3,90,1*MID(LEFT(D926, LEN(D926)-1),6,2)&lt;4,115,1*MID(LEFT(D926, LEN(D926)-1),6,2)&lt;6,135,1*MID(LEFT(D926, LEN(D926)-1),6,2)&lt;10,146,1*MID(LEFT(D926, LEN(D926)-1),6,2)&lt;13,165,1*MID(LEFT(D926, LEN(D926)-1),6,2)&gt;12,216))))</f>
        <v>90</v>
      </c>
      <c r="E941" s="195"/>
      <c r="F941" s="8"/>
      <c r="G941" s="8"/>
      <c r="H941" s="102"/>
    </row>
    <row r="942" spans="2:11" ht="12" customHeight="1">
      <c r="B942" s="20"/>
      <c r="C942" s="46"/>
      <c r="D942" s="117"/>
      <c r="F942" s="8"/>
      <c r="G942" s="8"/>
      <c r="H942" s="102"/>
    </row>
    <row r="943" spans="2:11" ht="12" customHeight="1">
      <c r="B943" s="15" t="str">
        <f>"■"&amp;MID(B920,2,14)</f>
        <v>■本設：EHDアンカーHP工法</v>
      </c>
      <c r="C943" s="3"/>
      <c r="D943" s="1"/>
      <c r="E943" s="1"/>
      <c r="F943" s="8"/>
      <c r="G943" s="8"/>
      <c r="H943" s="102"/>
    </row>
    <row r="944" spans="2:11" ht="12" customHeight="1">
      <c r="B944" s="2" t="s">
        <v>17</v>
      </c>
      <c r="C944" s="43"/>
      <c r="D944" s="196" t="s">
        <v>148</v>
      </c>
      <c r="E944" s="135"/>
      <c r="F944" s="16"/>
      <c r="G944" s="61" t="s">
        <v>42</v>
      </c>
      <c r="H944" s="97"/>
      <c r="I944" s="2" t="s">
        <v>21</v>
      </c>
      <c r="J944" s="49" t="s">
        <v>149</v>
      </c>
      <c r="K944" s="2" t="s">
        <v>28</v>
      </c>
    </row>
    <row r="945" spans="2:11" ht="12" customHeight="1">
      <c r="B945" s="197" t="s">
        <v>150</v>
      </c>
      <c r="C945" s="198" t="str">
        <f>IF(OR(D925=0,D926="　"),"",D926&amp;" ("&amp;MID(LEFT(D926, LEN(D926)-1),6,2)&amp;IF(MID(D926,4,1)="5","φ12.7","φ15.2")&amp;")")</f>
        <v>EHD5-4H (4φ12.7)</v>
      </c>
      <c r="D945" s="199"/>
      <c r="E945" s="200"/>
      <c r="F945" s="201" t="str">
        <f>"W=テンドン長×PC鋼より線本数×"&amp;IF(MID(D926,4,1)="5","0.774","1.101")&amp;"kg/m"</f>
        <v>W=テンドン長×PC鋼より線本数×0.774kg/m</v>
      </c>
      <c r="G945" s="202"/>
      <c r="H945" s="203"/>
      <c r="I945" s="204" t="s">
        <v>11</v>
      </c>
      <c r="J945" s="205">
        <f>IF(OR(D925=0,D926="　"),"",MROUND(D938*MID(LEFT(D926, LEN(D926)-1),6,2)*IF(MID(D926,4,1)="5","0.774","1.101"),0.01))</f>
        <v>30.03</v>
      </c>
      <c r="K945" s="205">
        <f>IFERROR(D925*J945,"")</f>
        <v>300.3</v>
      </c>
    </row>
    <row r="946" spans="2:11" ht="12" customHeight="1">
      <c r="B946" s="206" t="s">
        <v>151</v>
      </c>
      <c r="C946" s="207"/>
      <c r="D946" s="208"/>
      <c r="E946" s="209"/>
      <c r="F946" s="210" t="s">
        <v>33</v>
      </c>
      <c r="G946" s="211"/>
      <c r="H946" s="212"/>
      <c r="I946" s="213" t="s">
        <v>12</v>
      </c>
      <c r="J946" s="214">
        <f>IF(OR(D925=0,D926="　"),"",MROUND(D938,0.1))</f>
        <v>9.7000000000000011</v>
      </c>
      <c r="K946" s="214">
        <f>IFERROR(D925*J946,"")</f>
        <v>97.000000000000014</v>
      </c>
    </row>
    <row r="947" spans="2:11" ht="12" customHeight="1">
      <c r="B947" s="206" t="str">
        <f>"頭部キャップ"</f>
        <v>頭部キャップ</v>
      </c>
      <c r="C947" s="207" t="str" cm="1">
        <f t="array" ref="C947">IF(OR(D925=0,D926="　"),"",IF(MID(D926,4,1)="5",_xlfn.SWITCH(1*MID(LEFT(D926, LEN(D926)-1),6,2),1,"S",2,"S",3,"S",4,"S",5,"M",6,"M",7,"M",8,"L",9,"L",10,"L",11,"L",12,"L"),_xlfn.SWITCH(1*MID(LEFT(D926, LEN(D926)-1),6,2),1,"S",2,"S",3,"M",4,"M",5,"L",6,"L",7,"L",8,"LL",9,"LL",10,"LL",11,"LL",12,"LL",13,"LL",14,"LL"))&amp;"型"&amp;D928&amp;IF(OR(MID(D928,1,2)="透明",MID(D928,1,2)="5窓"),"、PC樹脂","")&amp;"、ｱﾙﾐAC4C相当"&amp;_xlfn.IFS(MID(D927,1,3)="防食Ⅱ","",MID(D927,5,2)="塩害","、防食：ﾀｹｺｰﾄ処理",MID(D927,5,2)="酸性","、防食：重防食処理"))</f>
        <v>S型透明キャップ、PC樹脂、ｱﾙﾐAC4C相当</v>
      </c>
      <c r="D947" s="215"/>
      <c r="E947" s="216"/>
      <c r="F947" s="217" t="str">
        <f t="shared" ref="F947:F953" si="37">"n=1"</f>
        <v>n=1</v>
      </c>
      <c r="G947" s="218"/>
      <c r="H947" s="219"/>
      <c r="I947" s="213" t="s">
        <v>13</v>
      </c>
      <c r="J947" s="220" t="str">
        <f>IF(OR(D925=0,D926="　"),"",MID(F947,3,2))</f>
        <v>1</v>
      </c>
      <c r="K947" s="214">
        <f>IFERROR(D925*J947,"")</f>
        <v>10</v>
      </c>
    </row>
    <row r="948" spans="2:11" ht="12" customHeight="1">
      <c r="B948" s="206" t="s">
        <v>5</v>
      </c>
      <c r="C948" s="207" t="str" cm="1">
        <f t="array" ref="C948">IF(OR(D925=0,D926="　"),"",IF(MID(D926,4,1)="5","G5"&amp;_xlfn.SWITCH(1*MID(LEFT(D926, LEN(D926)-1),6,2),1,"01",2,"02",3,"03",4,"04",5,"07",6,"07",7,"07",8,"09",9,"09",10,"12",11,"12",12,"12"),"G6"&amp;_xlfn.SWITCH(1*MID(LEFT(D926, LEN(D926)-1),6,2),1,"01",2,"02",3,"03",4,"04",5,"07",6,"07",7,"07",8,"09",9,"09",10,"12",11,"12",12,"12",13,"14",14,"14"))&amp;"、S45C相当"&amp;IF(MID(D928,1,3)&lt;&gt;"アルミ","、防食：無電解Niめっき",""))</f>
        <v>G504、S45C相当、防食：無電解Niめっき</v>
      </c>
      <c r="D948" s="208"/>
      <c r="E948" s="209"/>
      <c r="F948" s="217" t="str">
        <f t="shared" si="37"/>
        <v>n=1</v>
      </c>
      <c r="G948" s="218"/>
      <c r="H948" s="219"/>
      <c r="I948" s="213" t="s">
        <v>13</v>
      </c>
      <c r="J948" s="220" t="str">
        <f>IF(OR(D925=0,D926="　"),"",MID(F948,3,2))</f>
        <v>1</v>
      </c>
      <c r="K948" s="214">
        <f>IFERROR(D925*J948,"")</f>
        <v>10</v>
      </c>
    </row>
    <row r="949" spans="2:11" ht="12" customHeight="1">
      <c r="B949" s="206" t="s">
        <v>152</v>
      </c>
      <c r="C949" s="207" t="str" cm="1">
        <f t="array" ref="C949">IF(OR(D925=0,D926="　"),"",IF(MID(D926,4,1)="5","G5"&amp;_xlfn.SWITCH(1*MID(LEFT(D926, LEN(D926)-1),6,2),1,"01",2,"02",3,"03",4,"04",5,"07",6,"07",7,"07",8,"09",9,"09",10,"12",11,"12",12,"12"),"G6"&amp;_xlfn.SWITCH(1*MID(LEFT(D926, LEN(D926)-1),6,2),1,"01",2,"02",3,"03",4,"04",5,"07",6,"07",7,"07",8,"09",9,"09",10,"12",11,"12",12,"12",13,"14",14,"14"))&amp;"、S45C相当"&amp;IF(MID(D928,1,3)&lt;&gt;"アルミ","、防食：無電解Niめっき",""))</f>
        <v>G504、S45C相当、防食：無電解Niめっき</v>
      </c>
      <c r="D949" s="208"/>
      <c r="E949" s="209"/>
      <c r="F949" s="217" t="str">
        <f t="shared" si="37"/>
        <v>n=1</v>
      </c>
      <c r="G949" s="218"/>
      <c r="H949" s="219"/>
      <c r="I949" s="213" t="s">
        <v>13</v>
      </c>
      <c r="J949" s="220" t="str">
        <f>IF(OR(D925=0,D926="　"),"",MID(F949,3,2))</f>
        <v>1</v>
      </c>
      <c r="K949" s="214">
        <f>IFERROR(D925*J949,"")</f>
        <v>10</v>
      </c>
    </row>
    <row r="950" spans="2:11" ht="12" customHeight="1">
      <c r="B950" s="206" t="s">
        <v>7</v>
      </c>
      <c r="C950" s="207" t="str">
        <f>IF(OR(D925=0,D926="　"),"",IF(1*MID(D926,4,1)=5,"ECF12.7","ECF15.2")&amp;"、SCM415相当"&amp;IF(MID(D928,1,3)&lt;&gt;"アルミ","、防食：無電解Niめっき",""))</f>
        <v>ECF12.7、SCM415相当、防食：無電解Niめっき</v>
      </c>
      <c r="D950" s="208"/>
      <c r="E950" s="209"/>
      <c r="F950" s="217" t="str">
        <f t="shared" si="37"/>
        <v>n=1</v>
      </c>
      <c r="G950" s="218"/>
      <c r="H950" s="219"/>
      <c r="I950" s="213" t="s">
        <v>27</v>
      </c>
      <c r="J950" s="220" t="str">
        <f>IF(OR(D925=0,D926="　"),"",MID(F950,3,2))</f>
        <v>1</v>
      </c>
      <c r="K950" s="214">
        <f>IFERROR(D925*J950,"")</f>
        <v>10</v>
      </c>
    </row>
    <row r="951" spans="2:11" ht="12" customHeight="1">
      <c r="B951" s="206" t="s">
        <v>153</v>
      </c>
      <c r="C951" s="207" t="str" cm="1">
        <f t="array" ref="C951">IF(OR(D925=0,D926="　"),"",IF(MID(D926,4,1)="5","G5"&amp;_xlfn.SWITCH(1*MID(LEFT(D926, LEN(D926)-1),6,2),1,"01",2,"04",3,"03",4,"04",5,"07",6,"07",7,"07",8,"12",9,"12",10,"12",11,"12",12,"12"),"G6"&amp;_xlfn.SWITCH(1*MID(LEFT(D926, LEN(D926)-1),6,2),1,"01",2,"02",3,"03",4,"04",5,"07",6,"07",7,"07",8,"12",9,"12",10,"12",11,"12",12,"12",13,"14",14,"14"))&amp;"、SS400相当、防食："&amp;_xlfn.IFS(MID(D927,1,3)="防食Ⅱ","HDZT77めっき",MID(D927,5,2)="塩害","ｱﾙﾐﾅｲｽﾞ処理",MID(D927,5,2)="酸性","重防食処理"))</f>
        <v>G504、SS400相当、防食：HDZT77めっき</v>
      </c>
      <c r="D951" s="208"/>
      <c r="E951" s="209"/>
      <c r="F951" s="217" t="str">
        <f t="shared" si="37"/>
        <v>n=1</v>
      </c>
      <c r="G951" s="218"/>
      <c r="H951" s="219"/>
      <c r="I951" s="213" t="s">
        <v>16</v>
      </c>
      <c r="J951" s="220" t="str">
        <f>IF(OR(D925=0,D926="　"),"",MID(F951,3,2))</f>
        <v>1</v>
      </c>
      <c r="K951" s="214">
        <f>IFERROR(D925*J951,"")</f>
        <v>10</v>
      </c>
    </row>
    <row r="952" spans="2:11" ht="12" customHeight="1">
      <c r="B952" s="206" t="str">
        <f>IF(MID(D929,1,3)="のり面","管付","")&amp;"支圧板"</f>
        <v>管付支圧板</v>
      </c>
      <c r="C952" s="221" t="str" cm="1">
        <f t="array" ref="C952">IF(OR(D925=0,D926="　"),"","PL"&amp;IF(MID(D929,1,3)="のり面","P","")&amp;IF(MID(D926,4,1)="5","5-"&amp;_xlfn.SWITCH(1*MID(LEFT(D926, LEN(D926)-1),6,2),1,"1",2,"2",3,"3",4,"4",5,"5",6,"6",7,"7",8,"9",9,"9",10,"10",11,"11",12,"12"),"6-"&amp;_xlfn.SWITCH(1*MID(LEFT(D926, LEN(D926)-1),6,2),1,"1",2,"2",3,"3",4,"4",5,"6",6,"6",7,"7",8,"8",9,"9",10,"10",11,"11",12,"12",13,"14",14,"14"))&amp;"、SS400相当、防食："&amp;_xlfn.IFS(MID(D927,1,3)="防食Ⅱ","HDZT77めっき",MID(D927,5,2)="塩害","ｱﾙﾐﾅｲｽﾞ処理",MID(D927,5,2)="酸性","重防食処理"))</f>
        <v>PLP5-4、SS400相当、防食：HDZT77めっき</v>
      </c>
      <c r="D952" s="208"/>
      <c r="E952" s="209"/>
      <c r="F952" s="217" t="str">
        <f t="shared" si="37"/>
        <v>n=1</v>
      </c>
      <c r="G952" s="218"/>
      <c r="H952" s="219"/>
      <c r="I952" s="213" t="s">
        <v>16</v>
      </c>
      <c r="J952" s="220" t="str">
        <f>IF(OR(D925=0,D926="　"),"",MID(F952,3,2))</f>
        <v>1</v>
      </c>
      <c r="K952" s="214">
        <f>IFERROR(D925*J952,"")</f>
        <v>10</v>
      </c>
    </row>
    <row r="953" spans="2:11" ht="12" customHeight="1">
      <c r="B953" s="206" t="s">
        <v>154</v>
      </c>
      <c r="C953" s="207" t="str">
        <f>IF(OR(D925=0,D926="　"),"","G"&amp;MID(LEFT(D926, LEN(D926)-1),4,4)&amp;"、NBR45相当")</f>
        <v>G5-4、NBR45相当</v>
      </c>
      <c r="D953" s="208"/>
      <c r="E953" s="209"/>
      <c r="F953" s="217" t="str">
        <f t="shared" si="37"/>
        <v>n=1</v>
      </c>
      <c r="G953" s="218"/>
      <c r="H953" s="219"/>
      <c r="I953" s="213" t="s">
        <v>13</v>
      </c>
      <c r="J953" s="220" t="str">
        <f>IF(OR(D925=0,D926="　"),"",MID(F953,3,2))</f>
        <v>1</v>
      </c>
      <c r="K953" s="214">
        <f>IFERROR(D925*J953,"")</f>
        <v>10</v>
      </c>
    </row>
    <row r="954" spans="2:11" ht="12" customHeight="1">
      <c r="B954" s="206" t="str" cm="1">
        <f t="array" ref="B954">_xlfn.IFS(OR(D925=0,D926="　"),"",MID(D928,1,3)="アルミ","頭部防錆油",MID(D928,1,3)&lt;&gt;"アルミ","余長キャップ")</f>
        <v>余長キャップ</v>
      </c>
      <c r="C954" s="221" t="str" cm="1">
        <f t="array" ref="C954">_xlfn.IFS(OR(D925=0,D926="　"),"",MID(D928,1,3)="アルミ","PCコートC",MID(D928,1,3)&lt;&gt;"アルミ","TC"&amp;MID(D926,4,1)&amp;"、高密度ポチエチレン")</f>
        <v>TC5、高密度ポチエチレン</v>
      </c>
      <c r="D954" s="208"/>
      <c r="E954" s="209"/>
      <c r="F954" s="217" t="str" cm="1">
        <f t="array" ref="F954">_xlfn.IFS(OR(D925=0,D926="　"),"",MID(D928,1,3)="アルミ","W="&amp;IF(MID(D926,4,1)="5",_xlfn.SWITCH(1*MID(LEFT(D926, LEN(D926)-1),6,2),1,1.9,2,1.3,3,1.3,4,1.3,5,1.6,6,1.6,7,1.6,8,3.1,9,3.1,10,3.1,11,3.1,12,3.1),"G6"&amp;_xlfn.SWITCH(1*MID(LEFT(D926, LEN(D926)-1),6,2),1,1.8,2,1.3,3,1.8,4,1.8,5,3.3,6,3.3,7,3.3,8,9.9,9,9.9,10,9.9,11,9.9,12,9.9,13,9.9,14,9.9)),MID(D928,1,3)&lt;&gt;"アルミ","n=1")</f>
        <v>n=1</v>
      </c>
      <c r="G954" s="218"/>
      <c r="H954" s="219"/>
      <c r="I954" s="213" t="str" cm="1">
        <f t="array" ref="I954">_xlfn.IFS(OR(D925=0,D926="　"),"",MID(D928,1,3)="アルミ","kg",MID(D928,1,3)&lt;&gt;"アルミ","式")</f>
        <v>式</v>
      </c>
      <c r="J954" s="220" t="str">
        <f>IF(OR(D925=0,D926="　"),"",MID(F954,3,4))</f>
        <v>1</v>
      </c>
      <c r="K954" s="214">
        <f>IFERROR(D925*J954,"")</f>
        <v>10</v>
      </c>
    </row>
    <row r="955" spans="2:11" ht="12" customHeight="1">
      <c r="B955" s="206" t="s">
        <v>9</v>
      </c>
      <c r="C955" s="207" t="str" cm="1">
        <f t="array" ref="C955">IF(OR(D925=0,D926="　"),"",IF(MID(D926,4,1)="5","PS5-"&amp;_xlfn.SWITCH(1*MID(LEFT(D926, LEN(D926)-1),6,2),1,"7",2,"2",3,"3",4,"4",5,"7",6,"7",7,"7",8,"12",9,"12",10,"12",11,"12",12,"12"),"PS6-"&amp;_xlfn.SWITCH(1*MID(LEFT(D926, LEN(D926)-1),6,2),1,"7",2,"2",3,"3",4,"4",5,"7",6,"7",7,"7",8,"12",9,"12",10,"12",11,"12",12,"12",13,"14",14,"14"))&amp;"、高密度ポリエチレン")</f>
        <v>PS5-4、高密度ポリエチレン</v>
      </c>
      <c r="D955" s="208"/>
      <c r="E955" s="209"/>
      <c r="F955" s="217" t="str">
        <f>"n=2"</f>
        <v>n=2</v>
      </c>
      <c r="G955" s="218"/>
      <c r="H955" s="219"/>
      <c r="I955" s="213" t="s">
        <v>13</v>
      </c>
      <c r="J955" s="220" t="str">
        <f>IF(OR(D925=0,D926="　"),"",MID(F955,3,2))</f>
        <v>2</v>
      </c>
      <c r="K955" s="214">
        <f>IFERROR(D925*J955,"")</f>
        <v>20</v>
      </c>
    </row>
    <row r="956" spans="2:11" ht="12" customHeight="1">
      <c r="B956" s="206" t="s">
        <v>2</v>
      </c>
      <c r="C956" s="207" t="str" cm="1">
        <f t="array" ref="C956">IF(OR(D925=0,D926="　"),"",IF(MID(D926,4,1)="5","S5-"&amp;_xlfn.IFS(1*MID(LEFT(D926, LEN(D926)-1),6,2)&lt;6,"5",1*MID(LEFT(D926, LEN(D926)-1),6,2)&lt;9,"8",1*MID(LEFT(D926, LEN(D926)-1),6,2)&gt;8,"12"),"S6-"&amp;_xlfn.IFS(1*MID(LEFT(D926, LEN(D926)-1),6,2)&lt;4,"3",1*MID(LEFT(D926, LEN(D926)-1),6,2)&lt;7,"6",1*MID(LEFT(D926, LEN(D926)-1),6,2)&lt;10,"9",1*MID(LEFT(D926, LEN(D926)-1),6,2)&lt;13,"12",1*MID(LEFT(D926, LEN(D926)-1),6,2)&gt;12,"14"))&amp;"、ポリプロピレン")</f>
        <v>S5-5、ポリプロピレン</v>
      </c>
      <c r="D956" s="208"/>
      <c r="E956" s="209"/>
      <c r="F956" s="222" t="s">
        <v>155</v>
      </c>
      <c r="G956" s="211"/>
      <c r="H956" s="212"/>
      <c r="I956" s="213" t="s">
        <v>13</v>
      </c>
      <c r="J956" s="206">
        <f>IF(OR(D925=0,D926="　"),"",MROUND((D934-0.4)/1,1))</f>
        <v>4</v>
      </c>
      <c r="K956" s="214">
        <f>IFERROR(D925*J956,"")</f>
        <v>40</v>
      </c>
    </row>
    <row r="957" spans="2:11" ht="12" customHeight="1">
      <c r="B957" s="206" t="s">
        <v>1</v>
      </c>
      <c r="C957" s="207" t="str" cm="1">
        <f t="array" ref="C957">IF(OR(D925=0,D926="　"),"",IF(MID(D926,4,1)="5","PC5-"&amp;_xlfn.IFS(1*MID(LEFT(D926, LEN(D926)-1),6,2)&lt;5,"4",1*MID(LEFT(D926, LEN(D926)-1),6,2)&lt;8,"7",1*MID(LEFT(D926, LEN(D926)-1),6,2)&lt;10,"9",1*MID(LEFT(D926, LEN(D926)-1),6,2)&gt;9,"12"),"PC6-"&amp;_xlfn.IFS(1*MID(LEFT(D926, LEN(D926)-1),6,2)&lt;4,"3",1*MID(LEFT(D926, LEN(D926)-1),6,2)&lt;8,"7",1*MID(LEFT(D926, LEN(D926)-1),6,2)&lt;13,"12",1*MID(LEFT(D926, LEN(D926)-1),6,2)&gt;12,"14"))&amp;"、ポリプロピレン")</f>
        <v>PC5-4、ポリプロピレン</v>
      </c>
      <c r="D957" s="208"/>
      <c r="E957" s="209"/>
      <c r="F957" s="217" t="str">
        <f>"n=1"</f>
        <v>n=1</v>
      </c>
      <c r="G957" s="218"/>
      <c r="H957" s="219"/>
      <c r="I957" s="213" t="s">
        <v>13</v>
      </c>
      <c r="J957" s="220" t="str">
        <f>IF(OR(D925=0,D926="　"),"",MID(F957,3,2))</f>
        <v>1</v>
      </c>
      <c r="K957" s="214">
        <f>IFERROR(D925*J957,"")</f>
        <v>10</v>
      </c>
    </row>
    <row r="958" spans="2:11" ht="12" customHeight="1">
      <c r="B958" s="206" t="s">
        <v>3</v>
      </c>
      <c r="C958" s="207" t="str">
        <f>IF(OR(D925=0,D926="　"),"","66ナイロン")</f>
        <v>66ナイロン</v>
      </c>
      <c r="D958" s="208"/>
      <c r="E958" s="209"/>
      <c r="F958" s="222" t="s">
        <v>156</v>
      </c>
      <c r="G958" s="211"/>
      <c r="H958" s="212"/>
      <c r="I958" s="213" t="s">
        <v>14</v>
      </c>
      <c r="J958" s="206">
        <f>IF(OR(D925=0,D926="　"),"",2*J956)</f>
        <v>8</v>
      </c>
      <c r="K958" s="214">
        <f>IFERROR(D925*J958,"")</f>
        <v>80</v>
      </c>
    </row>
    <row r="959" spans="2:11" ht="12" customHeight="1">
      <c r="B959" s="206" t="s">
        <v>4</v>
      </c>
      <c r="C959" s="207" t="str">
        <f>IF(OR(D925=0,D926="　"),"","フィラメントテープ")</f>
        <v>フィラメントテープ</v>
      </c>
      <c r="D959" s="208"/>
      <c r="E959" s="209"/>
      <c r="F959" s="222" t="str">
        <f>IF(OR(D925=0,D926="　"),"","L=((自由長+緊張部長)÷@1.0m)×テープ係数"&amp;IF(MID(D926,4,1)="5",_xlfn.IFS(1*MID(LEFT(D926, LEN(D926)-1),6,2)&lt;4,"0.8",1*MID(LEFT(D926, LEN(D926)-1),6,2)&lt;7,"1.0",1*MID(LEFT(D926, LEN(D926)-1),6,2)&lt;10,"1.2",1*MID(LEFT(D926, LEN(D926)-1),6,2)&lt;13,"1.4"),_xlfn.IFS(1*MID(LEFT(D926, LEN(D926)-1),6,2)&lt;4,"1.0",1*MID(LEFT(D926, LEN(D926)-1),6,2)&lt;7,"1.2",1*MID(LEFT(D926, LEN(D926)-1),6,2)&lt;10,"1.4",1*MID(LEFT(D926, LEN(D926)-1),6,2)&lt;15,"1.8")))</f>
        <v>L=((自由長+緊張部長)÷@1.0m)×テープ係数1.0</v>
      </c>
      <c r="G959" s="211"/>
      <c r="H959" s="212"/>
      <c r="I959" s="213" t="s">
        <v>12</v>
      </c>
      <c r="J959" s="223">
        <f>IF(OR(D925=0,D926="　"),"",MROUND((SUM(D935,D936))/1*RIGHT(F959, 3),0.1))</f>
        <v>5.5</v>
      </c>
      <c r="K959" s="214">
        <f>IFERROR(D925*J959,"")</f>
        <v>55</v>
      </c>
    </row>
    <row r="960" spans="2:11" ht="12" customHeight="1">
      <c r="B960" s="206" t="s">
        <v>0</v>
      </c>
      <c r="C960" s="207" t="str">
        <f>IF(OR(D925=0,D926="　"),"","16/20、高密度ポリエチレン")</f>
        <v>16/20、高密度ポリエチレン</v>
      </c>
      <c r="D960" s="208"/>
      <c r="E960" s="209"/>
      <c r="F960" s="210" t="s">
        <v>33</v>
      </c>
      <c r="G960" s="211"/>
      <c r="H960" s="212"/>
      <c r="I960" s="213" t="s">
        <v>12</v>
      </c>
      <c r="J960" s="214">
        <f>IF(OR(D925=0,D926="　"),"",MROUND(D938,0.1))</f>
        <v>9.7000000000000011</v>
      </c>
      <c r="K960" s="214">
        <f>IFERROR(D925*J960,"")</f>
        <v>97.000000000000014</v>
      </c>
    </row>
    <row r="961" spans="2:11" ht="12" customHeight="1">
      <c r="B961" s="206" t="str" cm="1">
        <f t="array" ref="B961">_xlfn.IFS(OR(D925=0,D926="　",MID(D929,1,2)="なし",MID(D929,1,3)="受圧体"),"",MID(D929,1,3)="のり面","のり面角度台座",MID(D929,1,3)="構造物","構造物壁面台座",MID(D929,1,3)="土留め","土留め台座")</f>
        <v>のり面角度台座</v>
      </c>
      <c r="C961" s="210" t="str" cm="1">
        <f t="array" ref="C961">IF(OR(D925=0,D926="　",MID(D929,1,2)="なし",MID(D929,1,3)="受圧体"),"",_xlfn.IFS(MID(D929,1,3)="のり面",IF(1*MID(D926,4,1)=5,_xlfn.IFS(1*MID(LEFT(D926, LEN(D926)-1),6,2)&lt;5,"ST140",1*MID(LEFT(D926, LEN(D926)-1),6,2)&lt;8,"ST170",1*MID(LEFT(D926, LEN(D926)-1),6,2)&lt;13,"ST220"),_xlfn.IFS(1*MID(LEFT(D926, LEN(D926)-1),6,2)&lt;4,"ST140",1*MID(LEFT(D926, LEN(D926)-1),6,2)&lt;5,"ST170",1*MID(LEFT(D926, LEN(D926)-1),6,2)&lt;8,"ST220",1*MID(LEFT(D926, LEN(D926)-1),6,2)&lt;15,"非該当"))&amp;"、FCD450相当、防食："&amp;_xlfn.IFS(MID(D927,1,3)="防食Ⅱ","HDZT77めっき",MID(D927,5,2)="塩害","ｱﾙﾐﾅｲｽﾞ処理",MID(D927,5,2)="酸性","重防食処理"),OR(MID(D929,1,3)="構造物",MID(D929,1,3)="土留め"),D926&amp;"用"&amp;IF(OR(MID(D929,1,3)="構造物",D930="　"),"",D930)&amp;"、防食："&amp;_xlfn.IFS(MID(D927,1,3)="防食Ⅱ","HDZT77めっき",MID(D927,5,2)="塩害","ｱﾙﾐﾅｲｽﾞ処理",MID(D927,5,2)="酸性","重防食処理")))</f>
        <v>ST140、FCD450相当、防食：HDZT77めっき</v>
      </c>
      <c r="D961" s="208"/>
      <c r="E961" s="209"/>
      <c r="F961" s="217" t="str">
        <f>IF(OR(D929="なし",D929="受圧体のみ"),"","n=1")</f>
        <v>n=1</v>
      </c>
      <c r="G961" s="218"/>
      <c r="H961" s="219"/>
      <c r="I961" s="213" t="str">
        <f>IF(OR(D925=0,D926="　",B961=""),"","台")</f>
        <v>台</v>
      </c>
      <c r="J961" s="220" t="str">
        <f>IF(OR(D925=0,D926="　"),"",MID(F961,3,2))</f>
        <v>1</v>
      </c>
      <c r="K961" s="214">
        <f>IFERROR(D925*J961,"")</f>
        <v>10</v>
      </c>
    </row>
    <row r="962" spans="2:11" ht="12" customHeight="1">
      <c r="B962" s="206" t="str">
        <f>IF(OR(D925=0,D926="　",MID(D929,1,3)&lt;&gt;"のり面"),"","補剛板")</f>
        <v>補剛板</v>
      </c>
      <c r="C962" s="210" t="str" cm="1">
        <f t="array" ref="C962">IF(OR(D925=0,D926="　",MID(D929,1,3)&lt;&gt;"のり面"),"",IF(MID(D926,4,1)="5","□"&amp;_xlfn.SWITCH(1*MID(LEFT(D926, LEN(D926)-1),6,2),1,"210φ131t12",2,"210φ131t12",3,"240φ131t12",4,"270φ131t12",5,"280φ143t12",6,"310φ143t16",7,"350φ143t19",8,"350φ180t19",9,"350φ180t19",10,"350φ180t19",11,"350φ180t22",12,"350φ180t22"),"□"&amp;_xlfn.SWITCH(1*MID(LEFT(D926, LEN(D926)-1),6,2),1,"210,φ131,t12",2,"240,φ131,t12",3,"270,φ131,t16",4,"300,φ143,t16",5,"350,φ180,t16",6,"350,φ180,t16",7,"350,φ180,t19",8,"400,φ──,t12",9,"400,φ──,t12",10,"400,φ──,t12",11,"400,φ──,t12",12,"400,φ──,t12",13,"400,φ──,t12",14,"400,φ──,t12"))&amp;"、SS400相当、防食："&amp;_xlfn.IFS(MID(D927,1,3)="防食Ⅱ","HDZT77めっき",MID(D927,5,2)="塩害","ｱﾙﾐﾅｲｽﾞ処理",MID(D927,5,2)="酸性","重防食処理"))</f>
        <v>□270φ131t12、SS400相当、防食：HDZT77めっき</v>
      </c>
      <c r="D962" s="208"/>
      <c r="E962" s="209"/>
      <c r="F962" s="217" t="str">
        <f>IF(OR(D925=0,D926="　",MID(D929,1,3)&lt;&gt;"のり面"),"","n=1")</f>
        <v>n=1</v>
      </c>
      <c r="G962" s="218"/>
      <c r="H962" s="219"/>
      <c r="I962" s="213" t="str">
        <f>IF(OR(D925=0,D926="　",B962="",MID(D929,1,3)&lt;&gt;"のり面"),"","枚")</f>
        <v>枚</v>
      </c>
      <c r="J962" s="220" t="str">
        <f>IF(OR(D925=0,D926="　"),"",MID(F962,3,2))</f>
        <v>1</v>
      </c>
      <c r="K962" s="214">
        <f>IFERROR(D925*J962,"")</f>
        <v>10</v>
      </c>
    </row>
    <row r="963" spans="2:11" ht="12" customHeight="1">
      <c r="B963" s="206" t="str" cm="1">
        <f t="array" ref="B963">_xlfn.IFS(OR(D925=0,D926="　"),"",MID(D928,1,3)="アルミ","",MID(D928,1,3)&lt;&gt;"アルミ","テンドン補修用塗料")</f>
        <v>テンドン補修用塗料</v>
      </c>
      <c r="C963" s="210" t="str" cm="1">
        <f t="array" ref="C963">_xlfn.IFS(OR(D925=0,D926="　"),"",MID(D928,1,3)="アルミ","",MID(D928,1,3)&lt;&gt;"アルミ","エポキシ樹脂")</f>
        <v>エポキシ樹脂</v>
      </c>
      <c r="D963" s="208"/>
      <c r="E963" s="209"/>
      <c r="F963" s="217" t="str" cm="1">
        <f t="array" ref="F963">_xlfn.IFS(OR(D925=0,D926="　"),"",MID(D928,1,3)="アルミ","",MID(D928,1,3)&lt;&gt;"アルミ","W=PC鋼より線本数×"&amp;IF(MID(D926,4,1)="5","0.28","0.40"))</f>
        <v>W=PC鋼より線本数×0.28</v>
      </c>
      <c r="G963" s="218"/>
      <c r="H963" s="219"/>
      <c r="I963" s="213" t="str" cm="1">
        <f t="array" ref="I963">_xlfn.IFS(OR(D925=0,D926="　"),"",MID(D928,1,3)="アルミ","",MID(D928,1,3)&lt;&gt;"アルミ","g")</f>
        <v>g</v>
      </c>
      <c r="J963" s="224" cm="1">
        <f t="array" ref="J963">_xlfn.IFS(OR(D925=0,D926="　"),"",MID(D928,1,3)="アルミ","",MID(D928,1,3)&lt;&gt;"アルミ",MID(LEFT(D926, LEN(D926)-1),6,2)*IF(MID(D926,4,1)="5",0.28,0.4))</f>
        <v>1.1200000000000001</v>
      </c>
      <c r="K963" s="214">
        <f>IFERROR(D925*J963,"")</f>
        <v>11.200000000000001</v>
      </c>
    </row>
    <row r="964" spans="2:11" ht="12" customHeight="1">
      <c r="B964" s="206" t="str" cm="1">
        <f t="array" ref="B964">_xlfn.IFS(OR(D925=0,D926="　"),"",MID(D928,1,3)="アルミ","",MID(D928,1,3)&lt;&gt;"アルミ","長期防錆スプレー")</f>
        <v>長期防錆スプレー</v>
      </c>
      <c r="C964" s="210" t="str" cm="1">
        <f t="array" ref="C964">_xlfn.IFS(OR(D925=0,D926="　"),"",MID(D928,1,3)="アルミ","",MID(D928,1,3)&lt;&gt;"アルミ","防錆オイル")</f>
        <v>防錆オイル</v>
      </c>
      <c r="D964" s="208"/>
      <c r="E964" s="209"/>
      <c r="F964" s="217" t="str" cm="1">
        <f t="array" ref="F964">_xlfn.IFS(OR(D925=0,D926="　"),"",MID(D928,1,3)="アルミ","",MID(D928,1,3)&lt;&gt;"アルミ","n=0.01×(PC鋼より線本数+"&amp;IF(MID(D926,4,1)="5","6","12")&amp;")")</f>
        <v>n=0.01×(PC鋼より線本数+6)</v>
      </c>
      <c r="G964" s="218"/>
      <c r="H964" s="219"/>
      <c r="I964" s="213" t="str" cm="1">
        <f t="array" ref="I964">_xlfn.IFS(OR(D925=0,D926="　"),"",MID(D928,1,3)="アルミ","",MID(D928,1,3)&lt;&gt;"アルミ","缶")</f>
        <v>缶</v>
      </c>
      <c r="J964" s="224" cm="1">
        <f t="array" ref="J964">_xlfn.IFS(OR(D925=0,D926="　"),"",MID(D928,1,3)="アルミ","",MID(D928,1,3)&lt;&gt;"アルミ",0.01*(MID(LEFT(D926, LEN(D926)-1),6,2)+IF(MID(D926,4,1)="5",6,12)))</f>
        <v>0.1</v>
      </c>
      <c r="K964" s="214">
        <f>IFERROR(D925*J964,"")</f>
        <v>1</v>
      </c>
    </row>
    <row r="965" spans="2:11" ht="12" customHeight="1">
      <c r="B965" s="206" t="str">
        <f>IF(OR(D925=0,D926="　",D931="なし"),"","フリーパッカー注入ホース")</f>
        <v/>
      </c>
      <c r="C965" s="207" t="str">
        <f>IF(OR(D925=0,D926="　",B965=""),"","16/20、高密度ポリエチレン")</f>
        <v/>
      </c>
      <c r="D965" s="208"/>
      <c r="E965" s="209"/>
      <c r="F965" s="210" t="str">
        <f>IF(B965="","","L=自由長+緊張部長")</f>
        <v/>
      </c>
      <c r="G965" s="211"/>
      <c r="H965" s="212"/>
      <c r="I965" s="213" t="str">
        <f>IF(OR(D925=0,D926="　",B965=""),"","m")</f>
        <v/>
      </c>
      <c r="J965" s="214" t="str">
        <f>IF(OR(D925=0,D926="　"),"",IF(B965="","",MROUND(D935+D936,0.1)))</f>
        <v/>
      </c>
      <c r="K965" s="214" t="str">
        <f>IFERROR(D925*J965,"")</f>
        <v/>
      </c>
    </row>
    <row r="966" spans="2:11" ht="12" customHeight="1">
      <c r="B966" s="225" t="str">
        <f>IF(OR(D925=0,D926="　",D931="なし"),"","フリーパッカー")</f>
        <v/>
      </c>
      <c r="C966" s="217" t="str" cm="1">
        <f t="array" ref="C966">IF(OR(D925=0,D926="　",B965=""),"",_xlfn.SWITCH(D940,90,"PA-170",115,"PA-200",135,"PA-240",146,"PA-240",165,"PA-350")&amp;"、織布")</f>
        <v/>
      </c>
      <c r="D966" s="208"/>
      <c r="E966" s="209"/>
      <c r="F966" s="226" t="str">
        <f>IF(B966="","","L=自由長+0.5m")</f>
        <v/>
      </c>
      <c r="G966" s="227"/>
      <c r="H966" s="228"/>
      <c r="I966" s="213" t="str">
        <f>IF(OR(D926=0,D927="　",B966=""),"","m")</f>
        <v/>
      </c>
      <c r="J966" s="214" t="str">
        <f>IF(OR(D925=0,D926="　"),"",IF(B966="","",MROUND(D935+0.5,0.1)))</f>
        <v/>
      </c>
      <c r="K966" s="214" t="str">
        <f>IFERROR(D925*J966,"")</f>
        <v/>
      </c>
    </row>
    <row r="967" spans="2:11" ht="12" customHeight="1">
      <c r="B967" s="206" t="str">
        <f>IF(OR(D925=0,D926="　",D931="なし"),"","パッカー取付加工")</f>
        <v/>
      </c>
      <c r="C967" s="207"/>
      <c r="D967" s="208"/>
      <c r="E967" s="209"/>
      <c r="F967" s="217" t="str">
        <f>IF(B967="","","n=1")</f>
        <v/>
      </c>
      <c r="G967" s="218"/>
      <c r="H967" s="219"/>
      <c r="I967" s="213" t="str">
        <f>IF(OR(D927=0,D928="　",B967=""),"","式")</f>
        <v/>
      </c>
      <c r="J967" s="220" t="str">
        <f>IF(OR(D925=0,D926="　"),"",MID(F967,3,2))</f>
        <v/>
      </c>
      <c r="K967" s="206" t="str">
        <f>IFERROR(D925*J967,"")</f>
        <v/>
      </c>
    </row>
    <row r="968" spans="2:11" ht="12" customHeight="1">
      <c r="B968" s="229"/>
      <c r="C968" s="230"/>
      <c r="D968" s="231"/>
      <c r="E968" s="232"/>
      <c r="F968" s="233"/>
      <c r="G968" s="234"/>
      <c r="H968" s="235"/>
      <c r="I968" s="236"/>
      <c r="J968" s="237"/>
      <c r="K968" s="229"/>
    </row>
    <row r="969" spans="2:11" ht="12" customHeight="1">
      <c r="B969" s="238" t="s">
        <v>30</v>
      </c>
      <c r="C969" s="239" t="s">
        <v>31</v>
      </c>
      <c r="D969" s="240"/>
      <c r="E969" s="241"/>
      <c r="F969" s="242" t="s">
        <v>157</v>
      </c>
      <c r="G969" s="243"/>
      <c r="H969" s="244"/>
      <c r="I969" s="245" t="s">
        <v>55</v>
      </c>
      <c r="J969" s="246">
        <f>IFERROR(MROUND(0.25*PI()*(0.001*D940)^2*(D933+D934+D939)*(1+2.2),0.01),"")</f>
        <v>0.17</v>
      </c>
      <c r="K969" s="246">
        <f>IFERROR(D925*J969,"")</f>
        <v>1.7000000000000002</v>
      </c>
    </row>
    <row r="971" spans="2:11" ht="12" customHeight="1">
      <c r="B971" s="247" t="s">
        <v>136</v>
      </c>
      <c r="C971" s="247"/>
      <c r="D971" s="247"/>
      <c r="F971" s="163"/>
      <c r="G971" s="164"/>
      <c r="H971" s="164"/>
    </row>
    <row r="972" spans="2:11" ht="12" customHeight="1">
      <c r="B972" s="15" t="s">
        <v>111</v>
      </c>
      <c r="C972" s="15"/>
      <c r="D972" s="1"/>
      <c r="E972" s="1"/>
      <c r="H972" s="119"/>
      <c r="J972" s="118"/>
    </row>
    <row r="973" spans="2:11" ht="12" customHeight="1">
      <c r="B973" s="165" t="s">
        <v>166</v>
      </c>
      <c r="C973" s="3"/>
      <c r="D973" s="1"/>
      <c r="E973" s="1"/>
      <c r="F973" s="8"/>
      <c r="G973" s="8"/>
      <c r="H973" s="102"/>
      <c r="I973" s="28"/>
      <c r="J973" s="118"/>
    </row>
    <row r="974" spans="2:11" ht="12" customHeight="1">
      <c r="B974" s="15" t="s">
        <v>40</v>
      </c>
      <c r="C974" s="3"/>
      <c r="D974" s="1"/>
      <c r="E974" s="1"/>
      <c r="F974" s="15" t="s">
        <v>54</v>
      </c>
      <c r="G974" s="15"/>
      <c r="H974" s="102"/>
      <c r="I974" s="28"/>
    </row>
    <row r="975" spans="2:11" ht="12" customHeight="1">
      <c r="B975" s="2" t="s">
        <v>53</v>
      </c>
      <c r="C975" s="2" t="s">
        <v>21</v>
      </c>
      <c r="D975" s="2" t="s">
        <v>22</v>
      </c>
      <c r="E975" s="17"/>
      <c r="F975" s="49" t="s">
        <v>41</v>
      </c>
      <c r="G975" s="97" t="s">
        <v>59</v>
      </c>
      <c r="H975" s="49" t="s">
        <v>44</v>
      </c>
      <c r="I975" s="2" t="s">
        <v>21</v>
      </c>
      <c r="J975" s="49" t="s">
        <v>138</v>
      </c>
      <c r="K975" s="2" t="s">
        <v>28</v>
      </c>
    </row>
    <row r="976" spans="2:11" ht="12" customHeight="1">
      <c r="B976" s="166" t="s">
        <v>25</v>
      </c>
      <c r="C976" s="18" t="s">
        <v>24</v>
      </c>
      <c r="D976" s="167">
        <v>10</v>
      </c>
      <c r="E976" s="19"/>
      <c r="F976" s="168" t="s">
        <v>43</v>
      </c>
      <c r="G976" s="169" t="s">
        <v>113</v>
      </c>
      <c r="H976" s="88" t="str" cm="1">
        <f t="array" ref="H976">_xlfn.IFS(AND(F976&lt;&gt;"非削孔",F976&lt;&gt;"無設定"),D991,F976="非削孔",IF(MID(D980,1,3)="土留め","非削孔","箱抜き"),F976="無設定","無設定")</f>
        <v>箱抜き</v>
      </c>
      <c r="I976" s="23" t="str">
        <f>IF(F976="無設定","","m")</f>
        <v>m</v>
      </c>
      <c r="J976" s="170">
        <v>0.5</v>
      </c>
      <c r="K976" s="30">
        <f>D976*J976</f>
        <v>5</v>
      </c>
    </row>
    <row r="977" spans="2:11" ht="12" customHeight="1">
      <c r="B977" s="171" t="s">
        <v>37</v>
      </c>
      <c r="C977" s="50" t="s">
        <v>38</v>
      </c>
      <c r="D977" s="172" t="s">
        <v>159</v>
      </c>
      <c r="E977" s="173"/>
      <c r="F977" s="174" t="s">
        <v>49</v>
      </c>
      <c r="G977" s="169" t="s">
        <v>114</v>
      </c>
      <c r="H977" s="88" cm="1">
        <f t="array" ref="H977">_xlfn.IFS(AND(F977&lt;&gt;"非削孔",F977&lt;&gt;"無設定"),D991,F977="非削孔","箱抜き",F977="無設定","無設定")</f>
        <v>90</v>
      </c>
      <c r="I977" s="23" t="str">
        <f t="shared" ref="I977:I985" si="38">IF(F977="無設定","","m")</f>
        <v>m</v>
      </c>
      <c r="J977" s="170">
        <v>2.64</v>
      </c>
      <c r="K977" s="30">
        <f>D976*J977</f>
        <v>26.400000000000002</v>
      </c>
    </row>
    <row r="978" spans="2:11" ht="12" customHeight="1">
      <c r="B978" s="52" t="s">
        <v>39</v>
      </c>
      <c r="C978" s="91" t="s">
        <v>38</v>
      </c>
      <c r="D978" s="175" t="s">
        <v>60</v>
      </c>
      <c r="E978" s="140"/>
      <c r="F978" s="174" t="s">
        <v>49</v>
      </c>
      <c r="G978" s="169" t="s">
        <v>115</v>
      </c>
      <c r="H978" s="88" cm="1">
        <f t="array" ref="H978">_xlfn.IFS(AND(F978&lt;&gt;"非削孔",F978&lt;&gt;"無設定"),D991,F978="非削孔","箱抜き",F978="無設定","無設定")</f>
        <v>90</v>
      </c>
      <c r="I978" s="23" t="str">
        <f t="shared" si="38"/>
        <v>m</v>
      </c>
      <c r="J978" s="170">
        <v>5.36</v>
      </c>
      <c r="K978" s="30">
        <f>D976*J978</f>
        <v>53.6</v>
      </c>
    </row>
    <row r="979" spans="2:11" ht="12" customHeight="1">
      <c r="B979" s="147" t="s">
        <v>140</v>
      </c>
      <c r="C979" s="91" t="s">
        <v>38</v>
      </c>
      <c r="D979" s="176" t="s">
        <v>141</v>
      </c>
      <c r="E979" s="141"/>
      <c r="F979" s="174" t="s">
        <v>48</v>
      </c>
      <c r="G979" s="169"/>
      <c r="H979" s="88" t="str" cm="1">
        <f t="array" ref="H979">_xlfn.IFS(AND(F979&lt;&gt;"非削孔",F979&lt;&gt;"無設定"),D991,F979="非削孔","箱抜き",F979="無設定","無設定")</f>
        <v>無設定</v>
      </c>
      <c r="I979" s="23" t="str">
        <f t="shared" si="38"/>
        <v/>
      </c>
      <c r="J979" s="170">
        <v>0</v>
      </c>
      <c r="K979" s="30">
        <f>D976*J979</f>
        <v>0</v>
      </c>
    </row>
    <row r="980" spans="2:11" ht="12" customHeight="1">
      <c r="B980" s="147" t="s">
        <v>142</v>
      </c>
      <c r="C980" s="91" t="s">
        <v>38</v>
      </c>
      <c r="D980" s="177" t="s">
        <v>160</v>
      </c>
      <c r="E980" s="21"/>
      <c r="F980" s="174" t="s">
        <v>48</v>
      </c>
      <c r="G980" s="169"/>
      <c r="H980" s="88" t="str" cm="1">
        <f t="array" ref="H980">_xlfn.IFS(AND(F980&lt;&gt;"非削孔",F980&lt;&gt;"無設定"),D991,F980="非削孔","箱抜き",F980="無設定","無設定")</f>
        <v>無設定</v>
      </c>
      <c r="I980" s="23" t="str">
        <f t="shared" si="38"/>
        <v/>
      </c>
      <c r="J980" s="170">
        <v>0</v>
      </c>
      <c r="K980" s="30">
        <f>D976*J980</f>
        <v>0</v>
      </c>
    </row>
    <row r="981" spans="2:11" ht="12" customHeight="1">
      <c r="B981" s="114" t="str">
        <f>IF(MID(D980,1,3)="土留め",D980&amp;"の種類","")</f>
        <v/>
      </c>
      <c r="C981" s="91" t="s">
        <v>38</v>
      </c>
      <c r="D981" s="178" t="s">
        <v>71</v>
      </c>
      <c r="E981" s="21"/>
      <c r="F981" s="174" t="s">
        <v>48</v>
      </c>
      <c r="G981" s="169"/>
      <c r="H981" s="88" t="str" cm="1">
        <f t="array" ref="H981">_xlfn.IFS(AND(F981&lt;&gt;"非削孔",F981&lt;&gt;"無設定"),D991,F981="非削孔","箱抜き",F981="無設定","無設定")</f>
        <v>無設定</v>
      </c>
      <c r="I981" s="23" t="str">
        <f t="shared" si="38"/>
        <v/>
      </c>
      <c r="J981" s="170">
        <v>0</v>
      </c>
      <c r="K981" s="30">
        <f>D976*J981</f>
        <v>0</v>
      </c>
    </row>
    <row r="982" spans="2:11" ht="12" customHeight="1">
      <c r="B982" s="179" t="s">
        <v>50</v>
      </c>
      <c r="C982" s="180" t="s">
        <v>38</v>
      </c>
      <c r="D982" s="181" t="s">
        <v>51</v>
      </c>
      <c r="E982" s="182"/>
      <c r="F982" s="174" t="s">
        <v>48</v>
      </c>
      <c r="G982" s="169"/>
      <c r="H982" s="88" t="str" cm="1">
        <f t="array" ref="H982">_xlfn.IFS(AND(F982&lt;&gt;"非削孔",F982&lt;&gt;"無設定"),D991,F982="非削孔","箱抜き",F982="無設定","無設定")</f>
        <v>無設定</v>
      </c>
      <c r="I982" s="23" t="str">
        <f t="shared" si="38"/>
        <v/>
      </c>
      <c r="J982" s="170">
        <v>0</v>
      </c>
      <c r="K982" s="30">
        <f>D976*J982</f>
        <v>0</v>
      </c>
    </row>
    <row r="983" spans="2:11" ht="12" customHeight="1">
      <c r="B983" s="160" t="str" cm="1">
        <f t="array" ref="B983">"頭部自由長"&amp;_xlfn.IFS(MID(D980,1,2)="なし","",MID(D980,1,3)="受圧体","(受圧体)",MID(D980,1,3)="のり面","(角度台座＋受圧体)",MID(D980,1,3)="構造物","(壁面台座)",MID(D980,1,3)="土留め","(台座+腹起し)")&amp;"　Lfh"</f>
        <v>頭部自由長(角度台座＋受圧体)　Lfh</v>
      </c>
      <c r="C983" s="155" t="s">
        <v>23</v>
      </c>
      <c r="D983" s="183">
        <v>0.5</v>
      </c>
      <c r="E983" s="21"/>
      <c r="F983" s="174" t="s">
        <v>144</v>
      </c>
      <c r="G983" s="169"/>
      <c r="H983" s="88" cm="1">
        <f t="array" ref="H983">_xlfn.IFS(AND(F983&lt;&gt;"非削孔",F983&lt;&gt;"無設定"),D991,F983="非削孔","箱抜き",F983="無設定","無設定")</f>
        <v>90</v>
      </c>
      <c r="I983" s="23" t="str">
        <f t="shared" si="38"/>
        <v>m</v>
      </c>
      <c r="J983" s="170">
        <v>0</v>
      </c>
      <c r="K983" s="30">
        <f>D976*J983</f>
        <v>0</v>
      </c>
    </row>
    <row r="984" spans="2:11" ht="12" customHeight="1">
      <c r="B984" s="22" t="s">
        <v>108</v>
      </c>
      <c r="C984" s="23" t="s">
        <v>23</v>
      </c>
      <c r="D984" s="184">
        <v>4</v>
      </c>
      <c r="E984" s="21"/>
      <c r="F984" s="174" t="s">
        <v>48</v>
      </c>
      <c r="G984" s="169"/>
      <c r="H984" s="88" t="str" cm="1">
        <f t="array" ref="H984">_xlfn.IFS(AND(F984&lt;&gt;"非削孔",F984&lt;&gt;"無設定"),D991,F984="非削孔","箱抜き",F984="無設定","無設定")</f>
        <v>無設定</v>
      </c>
      <c r="I984" s="23" t="str">
        <f t="shared" si="38"/>
        <v/>
      </c>
      <c r="J984" s="170">
        <v>0</v>
      </c>
      <c r="K984" s="30">
        <f>D976*J984</f>
        <v>0</v>
      </c>
    </row>
    <row r="985" spans="2:11" ht="12" customHeight="1">
      <c r="B985" s="157" t="s">
        <v>36</v>
      </c>
      <c r="C985" s="158" t="s">
        <v>23</v>
      </c>
      <c r="D985" s="185">
        <v>4</v>
      </c>
      <c r="F985" s="186" t="str" cm="1">
        <f t="array" ref="F985">INDEX(F976:H984,MATCH("無設定",F976:F984,0)-1,MATCH(F975,F975:H975,0))</f>
        <v>軟　岩</v>
      </c>
      <c r="G985" s="100" t="str" cm="1">
        <f t="array" ref="G985">INDEX(F976:H984,MATCH("無設定",F976:F984,0)-1,MATCH(G975,F975:H975,0))&amp;"　(先端長 L2d)"</f>
        <v>風化岩 CL　(先端長 L2d)</v>
      </c>
      <c r="H985" s="88" cm="1">
        <f t="array" ref="H985">INDEX(F976:H984,MATCH("無設定",F976:F984,0)-1,MATCH(H975,F975:H975,0))</f>
        <v>90</v>
      </c>
      <c r="I985" s="23" t="str">
        <f t="shared" si="38"/>
        <v>m</v>
      </c>
      <c r="J985" s="98">
        <f>D990</f>
        <v>0.25</v>
      </c>
      <c r="K985" s="78">
        <f>IFERROR(D976*J985,"")</f>
        <v>2.5</v>
      </c>
    </row>
    <row r="986" spans="2:11" ht="12" customHeight="1">
      <c r="B986" s="154" t="s">
        <v>145</v>
      </c>
      <c r="C986" s="155" t="s">
        <v>23</v>
      </c>
      <c r="D986" s="187">
        <f>IF(OR(D976=0,D977="　"),"──",SUM(D983:D984))</f>
        <v>4.5</v>
      </c>
      <c r="E986" s="19"/>
      <c r="F986" s="188"/>
      <c r="G986" s="75" t="s">
        <v>124</v>
      </c>
      <c r="H986" s="103"/>
      <c r="I986" s="18" t="s">
        <v>23</v>
      </c>
      <c r="J986" s="74">
        <f>SUMIFS(J976:J985,F976:F985,"&lt;&gt;非削孔",F976:F985,"&lt;&gt;無設定")</f>
        <v>8.25</v>
      </c>
      <c r="K986" s="95">
        <f>SUMIFS(K976:K985,F976:F985,"&lt;&gt;非削孔",F976:F985,"&lt;&gt;無設定")</f>
        <v>82.5</v>
      </c>
    </row>
    <row r="987" spans="2:11" ht="12" customHeight="1">
      <c r="B987" s="146" t="s">
        <v>146</v>
      </c>
      <c r="C987" s="23" t="s">
        <v>23</v>
      </c>
      <c r="D987" s="189" cm="1">
        <f t="array" ref="D987">IF(OR(D976=0,D977="　"),"──",IF(MID(D977,4,1)="5",_xlfn.IFS(1*MID(LEFT(D977, LEN(D977)-1),6,2)&lt;8,1,1*MID(LEFT(D977, LEN(D977)-1),6,2)&lt;13,1.2),_xlfn.IFS(1*MID(LEFT(D977, LEN(D977)-1),6,2)&lt;6,1,1*MID(LEFT(D977, LEN(D977)-1),6,2)&lt;15,1.2)))</f>
        <v>1</v>
      </c>
      <c r="E987" s="19"/>
      <c r="F987" s="190"/>
      <c r="G987" s="76" t="s">
        <v>47</v>
      </c>
      <c r="H987" s="104"/>
      <c r="I987" s="79" t="s">
        <v>46</v>
      </c>
      <c r="J987" s="77" t="str">
        <f>IF(OR(D976=0,D977="　"),"",IF(SUM(D984:D985,D990)=J986,"OK","NG"))</f>
        <v>OK</v>
      </c>
      <c r="K987" s="145" t="str">
        <f>IF(J987&lt;&gt;"NG","──",J986-SUM(D984:D985,D990))</f>
        <v>──</v>
      </c>
    </row>
    <row r="988" spans="2:11" ht="12" customHeight="1">
      <c r="B988" s="22" t="s">
        <v>125</v>
      </c>
      <c r="C988" s="23" t="s">
        <v>35</v>
      </c>
      <c r="D988" s="84">
        <f>IF(OR(D976=0,D977="　"),"──",0.2)</f>
        <v>0.2</v>
      </c>
      <c r="F988" s="191" t="s">
        <v>58</v>
      </c>
      <c r="G988" s="248" t="s">
        <v>110</v>
      </c>
      <c r="H988" s="249"/>
      <c r="I988" s="249"/>
      <c r="J988" s="249"/>
      <c r="K988" s="250"/>
    </row>
    <row r="989" spans="2:11" ht="12" customHeight="1">
      <c r="B989" s="6" t="s">
        <v>147</v>
      </c>
      <c r="C989" s="23" t="s">
        <v>23</v>
      </c>
      <c r="D989" s="60">
        <f>IF(OR(D976=0,D977="　"),"──",SUM(D985:D988))</f>
        <v>9.6999999999999993</v>
      </c>
    </row>
    <row r="990" spans="2:11" ht="12" customHeight="1">
      <c r="B990" s="25" t="s">
        <v>127</v>
      </c>
      <c r="C990" s="26" t="s">
        <v>23</v>
      </c>
      <c r="D990" s="27">
        <f>IF(OR(D976=0,D977="　"),"──",0.25)</f>
        <v>0.25</v>
      </c>
      <c r="F990" s="8"/>
      <c r="G990" s="8"/>
      <c r="H990" s="102"/>
    </row>
    <row r="991" spans="2:11" ht="12" customHeight="1">
      <c r="B991" s="95" t="s">
        <v>123</v>
      </c>
      <c r="C991" s="18" t="s">
        <v>32</v>
      </c>
      <c r="D991" s="192">
        <v>90</v>
      </c>
      <c r="E991" s="193" t="str">
        <f>IF(D991&lt;D992,"NG：削孔径不適合","")</f>
        <v/>
      </c>
      <c r="F991" s="8"/>
      <c r="G991" s="8"/>
      <c r="H991" s="102"/>
    </row>
    <row r="992" spans="2:11" ht="12" customHeight="1">
      <c r="B992" s="25" t="s">
        <v>122</v>
      </c>
      <c r="C992" s="26" t="s">
        <v>32</v>
      </c>
      <c r="D992" s="194" cm="1">
        <f t="array" ref="D992">IF(OR(D976=0,D977="　"),"──",IF(D982="なし",IF(MID(D977,4,1)="5",_xlfn.IFS(1*MID(LEFT(D977, LEN(D977)-1),6,2)&lt;6,90,1*MID(LEFT(D977, LEN(D977)-1),6,2)&lt;9,115,1*MID(LEFT(D977, LEN(D977)-1),6,2)&gt;8,135),_xlfn.IFS(1*MID(LEFT(D977, LEN(D977)-1),6,2)&lt;4,90,1*MID(LEFT(D977, LEN(D977)-1),6,2)&lt;7,115,1*MID(LEFT(D977, LEN(D977)-1),6,2)&lt;10,135,1*MID(LEFT(D977, LEN(D977)-1),6,2)&lt;13,146,1*MID(LEFT(D977, LEN(D977)-1),6,2)&gt;12,165)),IF(MID(D977,4,1)="5",_xlfn.IFS(1*MID(LEFT(D977, LEN(D977)-1),6,2)&lt;3,90,1*MID(LEFT(D977, LEN(D977)-1),6,2)&lt;7,115,1*MID(LEFT(D977, LEN(D977)-1),6,2)&lt;9,135,1*MID(LEFT(D977, LEN(D977)-1),6,2)&gt;8,146),_xlfn.IFS(1*MID(LEFT(D977, LEN(D977)-1),6,2)&lt;3,90,1*MID(LEFT(D977, LEN(D977)-1),6,2)&lt;4,115,1*MID(LEFT(D977, LEN(D977)-1),6,2)&lt;6,135,1*MID(LEFT(D977, LEN(D977)-1),6,2)&lt;10,146,1*MID(LEFT(D977, LEN(D977)-1),6,2)&lt;13,165,1*MID(LEFT(D977, LEN(D977)-1),6,2)&gt;12,216))))</f>
        <v>90</v>
      </c>
      <c r="E992" s="195"/>
      <c r="F992" s="8"/>
      <c r="G992" s="8"/>
      <c r="H992" s="102"/>
    </row>
    <row r="993" spans="2:11" ht="12" customHeight="1">
      <c r="B993" s="20"/>
      <c r="C993" s="46"/>
      <c r="D993" s="117"/>
      <c r="F993" s="8"/>
      <c r="G993" s="8"/>
      <c r="H993" s="102"/>
    </row>
    <row r="994" spans="2:11" ht="12" customHeight="1">
      <c r="B994" s="15" t="str">
        <f>"■"&amp;MID(B971,2,14)</f>
        <v>■本設：EHDアンカーHP工法</v>
      </c>
      <c r="C994" s="3"/>
      <c r="D994" s="1"/>
      <c r="E994" s="1"/>
      <c r="F994" s="8"/>
      <c r="G994" s="8"/>
      <c r="H994" s="102"/>
    </row>
    <row r="995" spans="2:11" ht="12" customHeight="1">
      <c r="B995" s="2" t="s">
        <v>17</v>
      </c>
      <c r="C995" s="43"/>
      <c r="D995" s="196" t="s">
        <v>148</v>
      </c>
      <c r="E995" s="135"/>
      <c r="F995" s="16"/>
      <c r="G995" s="61" t="s">
        <v>42</v>
      </c>
      <c r="H995" s="97"/>
      <c r="I995" s="2" t="s">
        <v>21</v>
      </c>
      <c r="J995" s="49" t="s">
        <v>149</v>
      </c>
      <c r="K995" s="2" t="s">
        <v>28</v>
      </c>
    </row>
    <row r="996" spans="2:11" ht="12" customHeight="1">
      <c r="B996" s="197" t="s">
        <v>150</v>
      </c>
      <c r="C996" s="198" t="str">
        <f>IF(OR(D976=0,D977="　"),"",D977&amp;" ("&amp;MID(LEFT(D977, LEN(D977)-1),6,2)&amp;IF(MID(D977,4,1)="5","φ12.7","φ15.2")&amp;")")</f>
        <v>EHD5-4H (4φ12.7)</v>
      </c>
      <c r="D996" s="199"/>
      <c r="E996" s="200"/>
      <c r="F996" s="201" t="str">
        <f>"W=テンドン長×PC鋼より線本数×"&amp;IF(MID(D977,4,1)="5","0.774","1.101")&amp;"kg/m"</f>
        <v>W=テンドン長×PC鋼より線本数×0.774kg/m</v>
      </c>
      <c r="G996" s="202"/>
      <c r="H996" s="203"/>
      <c r="I996" s="204" t="s">
        <v>11</v>
      </c>
      <c r="J996" s="205">
        <f>IF(OR(D976=0,D977="　"),"",MROUND(D989*MID(LEFT(D977, LEN(D977)-1),6,2)*IF(MID(D977,4,1)="5","0.774","1.101"),0.01))</f>
        <v>30.03</v>
      </c>
      <c r="K996" s="205">
        <f>IFERROR(D976*J996,"")</f>
        <v>300.3</v>
      </c>
    </row>
    <row r="997" spans="2:11" ht="12" customHeight="1">
      <c r="B997" s="206" t="s">
        <v>151</v>
      </c>
      <c r="C997" s="207"/>
      <c r="D997" s="208"/>
      <c r="E997" s="209"/>
      <c r="F997" s="210" t="s">
        <v>33</v>
      </c>
      <c r="G997" s="211"/>
      <c r="H997" s="212"/>
      <c r="I997" s="213" t="s">
        <v>12</v>
      </c>
      <c r="J997" s="214">
        <f>IF(OR(D976=0,D977="　"),"",MROUND(D989,0.1))</f>
        <v>9.7000000000000011</v>
      </c>
      <c r="K997" s="214">
        <f>IFERROR(D976*J997,"")</f>
        <v>97.000000000000014</v>
      </c>
    </row>
    <row r="998" spans="2:11" ht="12" customHeight="1">
      <c r="B998" s="206" t="str">
        <f>"頭部キャップ"</f>
        <v>頭部キャップ</v>
      </c>
      <c r="C998" s="207" t="str" cm="1">
        <f t="array" ref="C998">IF(OR(D976=0,D977="　"),"",IF(MID(D977,4,1)="5",_xlfn.SWITCH(1*MID(LEFT(D977, LEN(D977)-1),6,2),1,"S",2,"S",3,"S",4,"S",5,"M",6,"M",7,"M",8,"L",9,"L",10,"L",11,"L",12,"L"),_xlfn.SWITCH(1*MID(LEFT(D977, LEN(D977)-1),6,2),1,"S",2,"S",3,"M",4,"M",5,"L",6,"L",7,"L",8,"LL",9,"LL",10,"LL",11,"LL",12,"LL",13,"LL",14,"LL"))&amp;"型"&amp;D979&amp;IF(OR(MID(D979,1,2)="透明",MID(D979,1,2)="5窓"),"、PC樹脂","")&amp;"、ｱﾙﾐAC4C相当"&amp;_xlfn.IFS(MID(D978,1,3)="防食Ⅱ","",MID(D978,5,2)="塩害","、防食：ﾀｹｺｰﾄ処理",MID(D978,5,2)="酸性","、防食：重防食処理"))</f>
        <v>S型透明キャップ、PC樹脂、ｱﾙﾐAC4C相当</v>
      </c>
      <c r="D998" s="215"/>
      <c r="E998" s="216"/>
      <c r="F998" s="217" t="str">
        <f t="shared" ref="F998:F1004" si="39">"n=1"</f>
        <v>n=1</v>
      </c>
      <c r="G998" s="218"/>
      <c r="H998" s="219"/>
      <c r="I998" s="213" t="s">
        <v>13</v>
      </c>
      <c r="J998" s="220" t="str">
        <f>IF(OR(D976=0,D977="　"),"",MID(F998,3,2))</f>
        <v>1</v>
      </c>
      <c r="K998" s="214">
        <f>IFERROR(D976*J998,"")</f>
        <v>10</v>
      </c>
    </row>
    <row r="999" spans="2:11" ht="12" customHeight="1">
      <c r="B999" s="206" t="s">
        <v>5</v>
      </c>
      <c r="C999" s="207" t="str" cm="1">
        <f t="array" ref="C999">IF(OR(D976=0,D977="　"),"",IF(MID(D977,4,1)="5","G5"&amp;_xlfn.SWITCH(1*MID(LEFT(D977, LEN(D977)-1),6,2),1,"01",2,"02",3,"03",4,"04",5,"07",6,"07",7,"07",8,"09",9,"09",10,"12",11,"12",12,"12"),"G6"&amp;_xlfn.SWITCH(1*MID(LEFT(D977, LEN(D977)-1),6,2),1,"01",2,"02",3,"03",4,"04",5,"07",6,"07",7,"07",8,"09",9,"09",10,"12",11,"12",12,"12",13,"14",14,"14"))&amp;"、S45C相当"&amp;IF(MID(D979,1,3)&lt;&gt;"アルミ","、防食：無電解Niめっき",""))</f>
        <v>G504、S45C相当、防食：無電解Niめっき</v>
      </c>
      <c r="D999" s="208"/>
      <c r="E999" s="209"/>
      <c r="F999" s="217" t="str">
        <f t="shared" si="39"/>
        <v>n=1</v>
      </c>
      <c r="G999" s="218"/>
      <c r="H999" s="219"/>
      <c r="I999" s="213" t="s">
        <v>13</v>
      </c>
      <c r="J999" s="220" t="str">
        <f>IF(OR(D976=0,D977="　"),"",MID(F999,3,2))</f>
        <v>1</v>
      </c>
      <c r="K999" s="214">
        <f>IFERROR(D976*J999,"")</f>
        <v>10</v>
      </c>
    </row>
    <row r="1000" spans="2:11" ht="12" customHeight="1">
      <c r="B1000" s="206" t="s">
        <v>152</v>
      </c>
      <c r="C1000" s="207" t="str" cm="1">
        <f t="array" ref="C1000">IF(OR(D976=0,D977="　"),"",IF(MID(D977,4,1)="5","G5"&amp;_xlfn.SWITCH(1*MID(LEFT(D977, LEN(D977)-1),6,2),1,"01",2,"02",3,"03",4,"04",5,"07",6,"07",7,"07",8,"09",9,"09",10,"12",11,"12",12,"12"),"G6"&amp;_xlfn.SWITCH(1*MID(LEFT(D977, LEN(D977)-1),6,2),1,"01",2,"02",3,"03",4,"04",5,"07",6,"07",7,"07",8,"09",9,"09",10,"12",11,"12",12,"12",13,"14",14,"14"))&amp;"、S45C相当"&amp;IF(MID(D979,1,3)&lt;&gt;"アルミ","、防食：無電解Niめっき",""))</f>
        <v>G504、S45C相当、防食：無電解Niめっき</v>
      </c>
      <c r="D1000" s="208"/>
      <c r="E1000" s="209"/>
      <c r="F1000" s="217" t="str">
        <f t="shared" si="39"/>
        <v>n=1</v>
      </c>
      <c r="G1000" s="218"/>
      <c r="H1000" s="219"/>
      <c r="I1000" s="213" t="s">
        <v>13</v>
      </c>
      <c r="J1000" s="220" t="str">
        <f>IF(OR(D976=0,D977="　"),"",MID(F1000,3,2))</f>
        <v>1</v>
      </c>
      <c r="K1000" s="214">
        <f>IFERROR(D976*J1000,"")</f>
        <v>10</v>
      </c>
    </row>
    <row r="1001" spans="2:11" ht="12" customHeight="1">
      <c r="B1001" s="206" t="s">
        <v>7</v>
      </c>
      <c r="C1001" s="207" t="str">
        <f>IF(OR(D976=0,D977="　"),"",IF(1*MID(D977,4,1)=5,"ECF12.7","ECF15.2")&amp;"、SCM415相当"&amp;IF(MID(D979,1,3)&lt;&gt;"アルミ","、防食：無電解Niめっき",""))</f>
        <v>ECF12.7、SCM415相当、防食：無電解Niめっき</v>
      </c>
      <c r="D1001" s="208"/>
      <c r="E1001" s="209"/>
      <c r="F1001" s="217" t="str">
        <f t="shared" si="39"/>
        <v>n=1</v>
      </c>
      <c r="G1001" s="218"/>
      <c r="H1001" s="219"/>
      <c r="I1001" s="213" t="s">
        <v>27</v>
      </c>
      <c r="J1001" s="220" t="str">
        <f>IF(OR(D976=0,D977="　"),"",MID(F1001,3,2))</f>
        <v>1</v>
      </c>
      <c r="K1001" s="214">
        <f>IFERROR(D976*J1001,"")</f>
        <v>10</v>
      </c>
    </row>
    <row r="1002" spans="2:11" ht="12" customHeight="1">
      <c r="B1002" s="206" t="s">
        <v>153</v>
      </c>
      <c r="C1002" s="207" t="str" cm="1">
        <f t="array" ref="C1002">IF(OR(D976=0,D977="　"),"",IF(MID(D977,4,1)="5","G5"&amp;_xlfn.SWITCH(1*MID(LEFT(D977, LEN(D977)-1),6,2),1,"01",2,"04",3,"03",4,"04",5,"07",6,"07",7,"07",8,"12",9,"12",10,"12",11,"12",12,"12"),"G6"&amp;_xlfn.SWITCH(1*MID(LEFT(D977, LEN(D977)-1),6,2),1,"01",2,"02",3,"03",4,"04",5,"07",6,"07",7,"07",8,"12",9,"12",10,"12",11,"12",12,"12",13,"14",14,"14"))&amp;"、SS400相当、防食："&amp;_xlfn.IFS(MID(D978,1,3)="防食Ⅱ","HDZT77めっき",MID(D978,5,2)="塩害","ｱﾙﾐﾅｲｽﾞ処理",MID(D978,5,2)="酸性","重防食処理"))</f>
        <v>G504、SS400相当、防食：HDZT77めっき</v>
      </c>
      <c r="D1002" s="208"/>
      <c r="E1002" s="209"/>
      <c r="F1002" s="217" t="str">
        <f t="shared" si="39"/>
        <v>n=1</v>
      </c>
      <c r="G1002" s="218"/>
      <c r="H1002" s="219"/>
      <c r="I1002" s="213" t="s">
        <v>16</v>
      </c>
      <c r="J1002" s="220" t="str">
        <f>IF(OR(D976=0,D977="　"),"",MID(F1002,3,2))</f>
        <v>1</v>
      </c>
      <c r="K1002" s="214">
        <f>IFERROR(D976*J1002,"")</f>
        <v>10</v>
      </c>
    </row>
    <row r="1003" spans="2:11" ht="12" customHeight="1">
      <c r="B1003" s="206" t="str">
        <f>IF(MID(D980,1,3)="のり面","管付","")&amp;"支圧板"</f>
        <v>管付支圧板</v>
      </c>
      <c r="C1003" s="221" t="str" cm="1">
        <f t="array" ref="C1003">IF(OR(D976=0,D977="　"),"","PL"&amp;IF(MID(D980,1,3)="のり面","P","")&amp;IF(MID(D977,4,1)="5","5-"&amp;_xlfn.SWITCH(1*MID(LEFT(D977, LEN(D977)-1),6,2),1,"1",2,"2",3,"3",4,"4",5,"5",6,"6",7,"7",8,"9",9,"9",10,"10",11,"11",12,"12"),"6-"&amp;_xlfn.SWITCH(1*MID(LEFT(D977, LEN(D977)-1),6,2),1,"1",2,"2",3,"3",4,"4",5,"6",6,"6",7,"7",8,"8",9,"9",10,"10",11,"11",12,"12",13,"14",14,"14"))&amp;"、SS400相当、防食："&amp;_xlfn.IFS(MID(D978,1,3)="防食Ⅱ","HDZT77めっき",MID(D978,5,2)="塩害","ｱﾙﾐﾅｲｽﾞ処理",MID(D978,5,2)="酸性","重防食処理"))</f>
        <v>PLP5-4、SS400相当、防食：HDZT77めっき</v>
      </c>
      <c r="D1003" s="208"/>
      <c r="E1003" s="209"/>
      <c r="F1003" s="217" t="str">
        <f t="shared" si="39"/>
        <v>n=1</v>
      </c>
      <c r="G1003" s="218"/>
      <c r="H1003" s="219"/>
      <c r="I1003" s="213" t="s">
        <v>16</v>
      </c>
      <c r="J1003" s="220" t="str">
        <f>IF(OR(D976=0,D977="　"),"",MID(F1003,3,2))</f>
        <v>1</v>
      </c>
      <c r="K1003" s="214">
        <f>IFERROR(D976*J1003,"")</f>
        <v>10</v>
      </c>
    </row>
    <row r="1004" spans="2:11" ht="12" customHeight="1">
      <c r="B1004" s="206" t="s">
        <v>154</v>
      </c>
      <c r="C1004" s="207" t="str">
        <f>IF(OR(D976=0,D977="　"),"","G"&amp;MID(LEFT(D977, LEN(D977)-1),4,4)&amp;"、NBR45相当")</f>
        <v>G5-4、NBR45相当</v>
      </c>
      <c r="D1004" s="208"/>
      <c r="E1004" s="209"/>
      <c r="F1004" s="217" t="str">
        <f t="shared" si="39"/>
        <v>n=1</v>
      </c>
      <c r="G1004" s="218"/>
      <c r="H1004" s="219"/>
      <c r="I1004" s="213" t="s">
        <v>13</v>
      </c>
      <c r="J1004" s="220" t="str">
        <f>IF(OR(D976=0,D977="　"),"",MID(F1004,3,2))</f>
        <v>1</v>
      </c>
      <c r="K1004" s="214">
        <f>IFERROR(D976*J1004,"")</f>
        <v>10</v>
      </c>
    </row>
    <row r="1005" spans="2:11" ht="12" customHeight="1">
      <c r="B1005" s="206" t="str" cm="1">
        <f t="array" ref="B1005">_xlfn.IFS(OR(D976=0,D977="　"),"",MID(D979,1,3)="アルミ","頭部防錆油",MID(D979,1,3)&lt;&gt;"アルミ","余長キャップ")</f>
        <v>余長キャップ</v>
      </c>
      <c r="C1005" s="221" t="str" cm="1">
        <f t="array" ref="C1005">_xlfn.IFS(OR(D976=0,D977="　"),"",MID(D979,1,3)="アルミ","PCコートC",MID(D979,1,3)&lt;&gt;"アルミ","TC"&amp;MID(D977,4,1)&amp;"、高密度ポチエチレン")</f>
        <v>TC5、高密度ポチエチレン</v>
      </c>
      <c r="D1005" s="208"/>
      <c r="E1005" s="209"/>
      <c r="F1005" s="217" t="str" cm="1">
        <f t="array" ref="F1005">_xlfn.IFS(OR(D976=0,D977="　"),"",MID(D979,1,3)="アルミ","W="&amp;IF(MID(D977,4,1)="5",_xlfn.SWITCH(1*MID(LEFT(D977, LEN(D977)-1),6,2),1,1.9,2,1.3,3,1.3,4,1.3,5,1.6,6,1.6,7,1.6,8,3.1,9,3.1,10,3.1,11,3.1,12,3.1),"G6"&amp;_xlfn.SWITCH(1*MID(LEFT(D977, LEN(D977)-1),6,2),1,1.8,2,1.3,3,1.8,4,1.8,5,3.3,6,3.3,7,3.3,8,9.9,9,9.9,10,9.9,11,9.9,12,9.9,13,9.9,14,9.9)),MID(D979,1,3)&lt;&gt;"アルミ","n=1")</f>
        <v>n=1</v>
      </c>
      <c r="G1005" s="218"/>
      <c r="H1005" s="219"/>
      <c r="I1005" s="213" t="str" cm="1">
        <f t="array" ref="I1005">_xlfn.IFS(OR(D976=0,D977="　"),"",MID(D979,1,3)="アルミ","kg",MID(D979,1,3)&lt;&gt;"アルミ","式")</f>
        <v>式</v>
      </c>
      <c r="J1005" s="220" t="str">
        <f>IF(OR(D976=0,D977="　"),"",MID(F1005,3,4))</f>
        <v>1</v>
      </c>
      <c r="K1005" s="214">
        <f>IFERROR(D976*J1005,"")</f>
        <v>10</v>
      </c>
    </row>
    <row r="1006" spans="2:11" ht="12" customHeight="1">
      <c r="B1006" s="206" t="s">
        <v>9</v>
      </c>
      <c r="C1006" s="207" t="str" cm="1">
        <f t="array" ref="C1006">IF(OR(D976=0,D977="　"),"",IF(MID(D977,4,1)="5","PS5-"&amp;_xlfn.SWITCH(1*MID(LEFT(D977, LEN(D977)-1),6,2),1,"7",2,"2",3,"3",4,"4",5,"7",6,"7",7,"7",8,"12",9,"12",10,"12",11,"12",12,"12"),"PS6-"&amp;_xlfn.SWITCH(1*MID(LEFT(D977, LEN(D977)-1),6,2),1,"7",2,"2",3,"3",4,"4",5,"7",6,"7",7,"7",8,"12",9,"12",10,"12",11,"12",12,"12",13,"14",14,"14"))&amp;"、高密度ポリエチレン")</f>
        <v>PS5-4、高密度ポリエチレン</v>
      </c>
      <c r="D1006" s="208"/>
      <c r="E1006" s="209"/>
      <c r="F1006" s="217" t="str">
        <f>"n=2"</f>
        <v>n=2</v>
      </c>
      <c r="G1006" s="218"/>
      <c r="H1006" s="219"/>
      <c r="I1006" s="213" t="s">
        <v>13</v>
      </c>
      <c r="J1006" s="220" t="str">
        <f>IF(OR(D976=0,D977="　"),"",MID(F1006,3,2))</f>
        <v>2</v>
      </c>
      <c r="K1006" s="214">
        <f>IFERROR(D976*J1006,"")</f>
        <v>20</v>
      </c>
    </row>
    <row r="1007" spans="2:11" ht="12" customHeight="1">
      <c r="B1007" s="206" t="s">
        <v>2</v>
      </c>
      <c r="C1007" s="207" t="str" cm="1">
        <f t="array" ref="C1007">IF(OR(D976=0,D977="　"),"",IF(MID(D977,4,1)="5","S5-"&amp;_xlfn.IFS(1*MID(LEFT(D977, LEN(D977)-1),6,2)&lt;6,"5",1*MID(LEFT(D977, LEN(D977)-1),6,2)&lt;9,"8",1*MID(LEFT(D977, LEN(D977)-1),6,2)&gt;8,"12"),"S6-"&amp;_xlfn.IFS(1*MID(LEFT(D977, LEN(D977)-1),6,2)&lt;4,"3",1*MID(LEFT(D977, LEN(D977)-1),6,2)&lt;7,"6",1*MID(LEFT(D977, LEN(D977)-1),6,2)&lt;10,"9",1*MID(LEFT(D977, LEN(D977)-1),6,2)&lt;13,"12",1*MID(LEFT(D977, LEN(D977)-1),6,2)&gt;12,"14"))&amp;"、ポリプロピレン")</f>
        <v>S5-5、ポリプロピレン</v>
      </c>
      <c r="D1007" s="208"/>
      <c r="E1007" s="209"/>
      <c r="F1007" s="222" t="s">
        <v>155</v>
      </c>
      <c r="G1007" s="211"/>
      <c r="H1007" s="212"/>
      <c r="I1007" s="213" t="s">
        <v>13</v>
      </c>
      <c r="J1007" s="206">
        <f>IF(OR(D976=0,D977="　"),"",MROUND((D985-0.4)/1,1))</f>
        <v>4</v>
      </c>
      <c r="K1007" s="214">
        <f>IFERROR(D976*J1007,"")</f>
        <v>40</v>
      </c>
    </row>
    <row r="1008" spans="2:11" ht="12" customHeight="1">
      <c r="B1008" s="206" t="s">
        <v>1</v>
      </c>
      <c r="C1008" s="207" t="str" cm="1">
        <f t="array" ref="C1008">IF(OR(D976=0,D977="　"),"",IF(MID(D977,4,1)="5","PC5-"&amp;_xlfn.IFS(1*MID(LEFT(D977, LEN(D977)-1),6,2)&lt;5,"4",1*MID(LEFT(D977, LEN(D977)-1),6,2)&lt;8,"7",1*MID(LEFT(D977, LEN(D977)-1),6,2)&lt;10,"9",1*MID(LEFT(D977, LEN(D977)-1),6,2)&gt;9,"12"),"PC6-"&amp;_xlfn.IFS(1*MID(LEFT(D977, LEN(D977)-1),6,2)&lt;4,"3",1*MID(LEFT(D977, LEN(D977)-1),6,2)&lt;8,"7",1*MID(LEFT(D977, LEN(D977)-1),6,2)&lt;13,"12",1*MID(LEFT(D977, LEN(D977)-1),6,2)&gt;12,"14"))&amp;"、ポリプロピレン")</f>
        <v>PC5-4、ポリプロピレン</v>
      </c>
      <c r="D1008" s="208"/>
      <c r="E1008" s="209"/>
      <c r="F1008" s="217" t="str">
        <f>"n=1"</f>
        <v>n=1</v>
      </c>
      <c r="G1008" s="218"/>
      <c r="H1008" s="219"/>
      <c r="I1008" s="213" t="s">
        <v>13</v>
      </c>
      <c r="J1008" s="220" t="str">
        <f>IF(OR(D976=0,D977="　"),"",MID(F1008,3,2))</f>
        <v>1</v>
      </c>
      <c r="K1008" s="214">
        <f>IFERROR(D976*J1008,"")</f>
        <v>10</v>
      </c>
    </row>
    <row r="1009" spans="2:11" ht="12" customHeight="1">
      <c r="B1009" s="206" t="s">
        <v>3</v>
      </c>
      <c r="C1009" s="207" t="str">
        <f>IF(OR(D976=0,D977="　"),"","66ナイロン")</f>
        <v>66ナイロン</v>
      </c>
      <c r="D1009" s="208"/>
      <c r="E1009" s="209"/>
      <c r="F1009" s="222" t="s">
        <v>156</v>
      </c>
      <c r="G1009" s="211"/>
      <c r="H1009" s="212"/>
      <c r="I1009" s="213" t="s">
        <v>14</v>
      </c>
      <c r="J1009" s="206">
        <f>IF(OR(D976=0,D977="　"),"",2*J1007)</f>
        <v>8</v>
      </c>
      <c r="K1009" s="214">
        <f>IFERROR(D976*J1009,"")</f>
        <v>80</v>
      </c>
    </row>
    <row r="1010" spans="2:11" ht="12" customHeight="1">
      <c r="B1010" s="206" t="s">
        <v>4</v>
      </c>
      <c r="C1010" s="207" t="str">
        <f>IF(OR(D976=0,D977="　"),"","フィラメントテープ")</f>
        <v>フィラメントテープ</v>
      </c>
      <c r="D1010" s="208"/>
      <c r="E1010" s="209"/>
      <c r="F1010" s="222" t="str">
        <f>IF(OR(D976=0,D977="　"),"","L=((自由長+緊張部長)÷@1.0m)×テープ係数"&amp;IF(MID(D977,4,1)="5",_xlfn.IFS(1*MID(LEFT(D977, LEN(D977)-1),6,2)&lt;4,"0.8",1*MID(LEFT(D977, LEN(D977)-1),6,2)&lt;7,"1.0",1*MID(LEFT(D977, LEN(D977)-1),6,2)&lt;10,"1.2",1*MID(LEFT(D977, LEN(D977)-1),6,2)&lt;13,"1.4"),_xlfn.IFS(1*MID(LEFT(D977, LEN(D977)-1),6,2)&lt;4,"1.0",1*MID(LEFT(D977, LEN(D977)-1),6,2)&lt;7,"1.2",1*MID(LEFT(D977, LEN(D977)-1),6,2)&lt;10,"1.4",1*MID(LEFT(D977, LEN(D977)-1),6,2)&lt;15,"1.8")))</f>
        <v>L=((自由長+緊張部長)÷@1.0m)×テープ係数1.0</v>
      </c>
      <c r="G1010" s="211"/>
      <c r="H1010" s="212"/>
      <c r="I1010" s="213" t="s">
        <v>12</v>
      </c>
      <c r="J1010" s="223">
        <f>IF(OR(D976=0,D977="　"),"",MROUND((SUM(D986,D987))/1*RIGHT(F1010, 3),0.1))</f>
        <v>5.5</v>
      </c>
      <c r="K1010" s="214">
        <f>IFERROR(D976*J1010,"")</f>
        <v>55</v>
      </c>
    </row>
    <row r="1011" spans="2:11" ht="12" customHeight="1">
      <c r="B1011" s="206" t="s">
        <v>0</v>
      </c>
      <c r="C1011" s="207" t="str">
        <f>IF(OR(D976=0,D977="　"),"","16/20、高密度ポリエチレン")</f>
        <v>16/20、高密度ポリエチレン</v>
      </c>
      <c r="D1011" s="208"/>
      <c r="E1011" s="209"/>
      <c r="F1011" s="210" t="s">
        <v>33</v>
      </c>
      <c r="G1011" s="211"/>
      <c r="H1011" s="212"/>
      <c r="I1011" s="213" t="s">
        <v>12</v>
      </c>
      <c r="J1011" s="214">
        <f>IF(OR(D976=0,D977="　"),"",MROUND(D989,0.1))</f>
        <v>9.7000000000000011</v>
      </c>
      <c r="K1011" s="214">
        <f>IFERROR(D976*J1011,"")</f>
        <v>97.000000000000014</v>
      </c>
    </row>
    <row r="1012" spans="2:11" ht="12" customHeight="1">
      <c r="B1012" s="206" t="str" cm="1">
        <f t="array" ref="B1012">_xlfn.IFS(OR(D976=0,D977="　",MID(D980,1,2)="なし",MID(D980,1,3)="受圧体"),"",MID(D980,1,3)="のり面","のり面角度台座",MID(D980,1,3)="構造物","構造物壁面台座",MID(D980,1,3)="土留め","土留め台座")</f>
        <v>のり面角度台座</v>
      </c>
      <c r="C1012" s="210" t="str" cm="1">
        <f t="array" ref="C1012">IF(OR(D976=0,D977="　",MID(D980,1,2)="なし",MID(D980,1,3)="受圧体"),"",_xlfn.IFS(MID(D980,1,3)="のり面",IF(1*MID(D977,4,1)=5,_xlfn.IFS(1*MID(LEFT(D977, LEN(D977)-1),6,2)&lt;5,"ST140",1*MID(LEFT(D977, LEN(D977)-1),6,2)&lt;8,"ST170",1*MID(LEFT(D977, LEN(D977)-1),6,2)&lt;13,"ST220"),_xlfn.IFS(1*MID(LEFT(D977, LEN(D977)-1),6,2)&lt;4,"ST140",1*MID(LEFT(D977, LEN(D977)-1),6,2)&lt;5,"ST170",1*MID(LEFT(D977, LEN(D977)-1),6,2)&lt;8,"ST220",1*MID(LEFT(D977, LEN(D977)-1),6,2)&lt;15,"非該当"))&amp;"、FCD450相当、防食："&amp;_xlfn.IFS(MID(D978,1,3)="防食Ⅱ","HDZT77めっき",MID(D978,5,2)="塩害","ｱﾙﾐﾅｲｽﾞ処理",MID(D978,5,2)="酸性","重防食処理"),OR(MID(D980,1,3)="構造物",MID(D980,1,3)="土留め"),D977&amp;"用"&amp;IF(OR(MID(D980,1,3)="構造物",D981="　"),"",D981)&amp;"、防食："&amp;_xlfn.IFS(MID(D978,1,3)="防食Ⅱ","HDZT77めっき",MID(D978,5,2)="塩害","ｱﾙﾐﾅｲｽﾞ処理",MID(D978,5,2)="酸性","重防食処理")))</f>
        <v>ST140、FCD450相当、防食：HDZT77めっき</v>
      </c>
      <c r="D1012" s="208"/>
      <c r="E1012" s="209"/>
      <c r="F1012" s="217" t="str">
        <f>IF(OR(D980="なし",D980="受圧体のみ"),"","n=1")</f>
        <v>n=1</v>
      </c>
      <c r="G1012" s="218"/>
      <c r="H1012" s="219"/>
      <c r="I1012" s="213" t="str">
        <f>IF(OR(D976=0,D977="　",B1012=""),"","台")</f>
        <v>台</v>
      </c>
      <c r="J1012" s="220" t="str">
        <f>IF(OR(D976=0,D977="　"),"",MID(F1012,3,2))</f>
        <v>1</v>
      </c>
      <c r="K1012" s="214">
        <f>IFERROR(D976*J1012,"")</f>
        <v>10</v>
      </c>
    </row>
    <row r="1013" spans="2:11" ht="12" customHeight="1">
      <c r="B1013" s="206" t="str">
        <f>IF(OR(D976=0,D977="　",MID(D980,1,3)&lt;&gt;"のり面"),"","補剛板")</f>
        <v>補剛板</v>
      </c>
      <c r="C1013" s="210" t="str" cm="1">
        <f t="array" ref="C1013">IF(OR(D976=0,D977="　",MID(D980,1,3)&lt;&gt;"のり面"),"",IF(MID(D977,4,1)="5","□"&amp;_xlfn.SWITCH(1*MID(LEFT(D977, LEN(D977)-1),6,2),1,"210φ131t12",2,"210φ131t12",3,"240φ131t12",4,"270φ131t12",5,"280φ143t12",6,"310φ143t16",7,"350φ143t19",8,"350φ180t19",9,"350φ180t19",10,"350φ180t19",11,"350φ180t22",12,"350φ180t22"),"□"&amp;_xlfn.SWITCH(1*MID(LEFT(D977, LEN(D977)-1),6,2),1,"210,φ131,t12",2,"240,φ131,t12",3,"270,φ131,t16",4,"300,φ143,t16",5,"350,φ180,t16",6,"350,φ180,t16",7,"350,φ180,t19",8,"400,φ──,t12",9,"400,φ──,t12",10,"400,φ──,t12",11,"400,φ──,t12",12,"400,φ──,t12",13,"400,φ──,t12",14,"400,φ──,t12"))&amp;"、SS400相当、防食："&amp;_xlfn.IFS(MID(D978,1,3)="防食Ⅱ","HDZT77めっき",MID(D978,5,2)="塩害","ｱﾙﾐﾅｲｽﾞ処理",MID(D978,5,2)="酸性","重防食処理"))</f>
        <v>□270φ131t12、SS400相当、防食：HDZT77めっき</v>
      </c>
      <c r="D1013" s="208"/>
      <c r="E1013" s="209"/>
      <c r="F1013" s="217" t="str">
        <f>IF(OR(D976=0,D977="　",MID(D980,1,3)&lt;&gt;"のり面"),"","n=1")</f>
        <v>n=1</v>
      </c>
      <c r="G1013" s="218"/>
      <c r="H1013" s="219"/>
      <c r="I1013" s="213" t="str">
        <f>IF(OR(D976=0,D977="　",B1013="",MID(D980,1,3)&lt;&gt;"のり面"),"","枚")</f>
        <v>枚</v>
      </c>
      <c r="J1013" s="220" t="str">
        <f>IF(OR(D976=0,D977="　"),"",MID(F1013,3,2))</f>
        <v>1</v>
      </c>
      <c r="K1013" s="214">
        <f>IFERROR(D976*J1013,"")</f>
        <v>10</v>
      </c>
    </row>
    <row r="1014" spans="2:11" ht="12" customHeight="1">
      <c r="B1014" s="206" t="str" cm="1">
        <f t="array" ref="B1014">_xlfn.IFS(OR(D976=0,D977="　"),"",MID(D979,1,3)="アルミ","",MID(D979,1,3)&lt;&gt;"アルミ","テンドン補修用塗料")</f>
        <v>テンドン補修用塗料</v>
      </c>
      <c r="C1014" s="210" t="str" cm="1">
        <f t="array" ref="C1014">_xlfn.IFS(OR(D976=0,D977="　"),"",MID(D979,1,3)="アルミ","",MID(D979,1,3)&lt;&gt;"アルミ","エポキシ樹脂")</f>
        <v>エポキシ樹脂</v>
      </c>
      <c r="D1014" s="208"/>
      <c r="E1014" s="209"/>
      <c r="F1014" s="217" t="str" cm="1">
        <f t="array" ref="F1014">_xlfn.IFS(OR(D976=0,D977="　"),"",MID(D979,1,3)="アルミ","",MID(D979,1,3)&lt;&gt;"アルミ","W=PC鋼より線本数×"&amp;IF(MID(D977,4,1)="5","0.28","0.40"))</f>
        <v>W=PC鋼より線本数×0.28</v>
      </c>
      <c r="G1014" s="218"/>
      <c r="H1014" s="219"/>
      <c r="I1014" s="213" t="str" cm="1">
        <f t="array" ref="I1014">_xlfn.IFS(OR(D976=0,D977="　"),"",MID(D979,1,3)="アルミ","",MID(D979,1,3)&lt;&gt;"アルミ","g")</f>
        <v>g</v>
      </c>
      <c r="J1014" s="224" cm="1">
        <f t="array" ref="J1014">_xlfn.IFS(OR(D976=0,D977="　"),"",MID(D979,1,3)="アルミ","",MID(D979,1,3)&lt;&gt;"アルミ",MID(LEFT(D977, LEN(D977)-1),6,2)*IF(MID(D977,4,1)="5",0.28,0.4))</f>
        <v>1.1200000000000001</v>
      </c>
      <c r="K1014" s="214">
        <f>IFERROR(D976*J1014,"")</f>
        <v>11.200000000000001</v>
      </c>
    </row>
    <row r="1015" spans="2:11" ht="12" customHeight="1">
      <c r="B1015" s="206" t="str" cm="1">
        <f t="array" ref="B1015">_xlfn.IFS(OR(D976=0,D977="　"),"",MID(D979,1,3)="アルミ","",MID(D979,1,3)&lt;&gt;"アルミ","長期防錆スプレー")</f>
        <v>長期防錆スプレー</v>
      </c>
      <c r="C1015" s="210" t="str" cm="1">
        <f t="array" ref="C1015">_xlfn.IFS(OR(D976=0,D977="　"),"",MID(D979,1,3)="アルミ","",MID(D979,1,3)&lt;&gt;"アルミ","防錆オイル")</f>
        <v>防錆オイル</v>
      </c>
      <c r="D1015" s="208"/>
      <c r="E1015" s="209"/>
      <c r="F1015" s="217" t="str" cm="1">
        <f t="array" ref="F1015">_xlfn.IFS(OR(D976=0,D977="　"),"",MID(D979,1,3)="アルミ","",MID(D979,1,3)&lt;&gt;"アルミ","n=0.01×(PC鋼より線本数+"&amp;IF(MID(D977,4,1)="5","6","12")&amp;")")</f>
        <v>n=0.01×(PC鋼より線本数+6)</v>
      </c>
      <c r="G1015" s="218"/>
      <c r="H1015" s="219"/>
      <c r="I1015" s="213" t="str" cm="1">
        <f t="array" ref="I1015">_xlfn.IFS(OR(D976=0,D977="　"),"",MID(D979,1,3)="アルミ","",MID(D979,1,3)&lt;&gt;"アルミ","缶")</f>
        <v>缶</v>
      </c>
      <c r="J1015" s="224" cm="1">
        <f t="array" ref="J1015">_xlfn.IFS(OR(D976=0,D977="　"),"",MID(D979,1,3)="アルミ","",MID(D979,1,3)&lt;&gt;"アルミ",0.01*(MID(LEFT(D977, LEN(D977)-1),6,2)+IF(MID(D977,4,1)="5",6,12)))</f>
        <v>0.1</v>
      </c>
      <c r="K1015" s="214">
        <f>IFERROR(D976*J1015,"")</f>
        <v>1</v>
      </c>
    </row>
    <row r="1016" spans="2:11" ht="12" customHeight="1">
      <c r="B1016" s="206" t="str">
        <f>IF(OR(D976=0,D977="　",D982="なし"),"","フリーパッカー注入ホース")</f>
        <v/>
      </c>
      <c r="C1016" s="207" t="str">
        <f>IF(OR(D976=0,D977="　",B1016=""),"","16/20、高密度ポリエチレン")</f>
        <v/>
      </c>
      <c r="D1016" s="208"/>
      <c r="E1016" s="209"/>
      <c r="F1016" s="210" t="str">
        <f>IF(B1016="","","L=自由長+緊張部長")</f>
        <v/>
      </c>
      <c r="G1016" s="211"/>
      <c r="H1016" s="212"/>
      <c r="I1016" s="213" t="str">
        <f>IF(OR(D976=0,D977="　",B1016=""),"","m")</f>
        <v/>
      </c>
      <c r="J1016" s="214" t="str">
        <f>IF(OR(D976=0,D977="　"),"",IF(B1016="","",MROUND(D986+D987,0.1)))</f>
        <v/>
      </c>
      <c r="K1016" s="214" t="str">
        <f>IFERROR(D976*J1016,"")</f>
        <v/>
      </c>
    </row>
    <row r="1017" spans="2:11" ht="12" customHeight="1">
      <c r="B1017" s="225" t="str">
        <f>IF(OR(D976=0,D977="　",D982="なし"),"","フリーパッカー")</f>
        <v/>
      </c>
      <c r="C1017" s="217" t="str" cm="1">
        <f t="array" ref="C1017">IF(OR(D976=0,D977="　",B1016=""),"",_xlfn.SWITCH(D991,90,"PA-170",115,"PA-200",135,"PA-240",146,"PA-240",165,"PA-350")&amp;"、織布")</f>
        <v/>
      </c>
      <c r="D1017" s="208"/>
      <c r="E1017" s="209"/>
      <c r="F1017" s="226" t="str">
        <f>IF(B1017="","","L=自由長+0.5m")</f>
        <v/>
      </c>
      <c r="G1017" s="227"/>
      <c r="H1017" s="228"/>
      <c r="I1017" s="213" t="str">
        <f>IF(OR(D977=0,D978="　",B1017=""),"","m")</f>
        <v/>
      </c>
      <c r="J1017" s="214" t="str">
        <f>IF(OR(D976=0,D977="　"),"",IF(B1017="","",MROUND(D986+0.5,0.1)))</f>
        <v/>
      </c>
      <c r="K1017" s="214" t="str">
        <f>IFERROR(D976*J1017,"")</f>
        <v/>
      </c>
    </row>
    <row r="1018" spans="2:11" ht="12" customHeight="1">
      <c r="B1018" s="206" t="str">
        <f>IF(OR(D976=0,D977="　",D982="なし"),"","パッカー取付加工")</f>
        <v/>
      </c>
      <c r="C1018" s="207"/>
      <c r="D1018" s="208"/>
      <c r="E1018" s="209"/>
      <c r="F1018" s="217" t="str">
        <f>IF(B1018="","","n=1")</f>
        <v/>
      </c>
      <c r="G1018" s="218"/>
      <c r="H1018" s="219"/>
      <c r="I1018" s="213" t="str">
        <f>IF(OR(D978=0,D979="　",B1018=""),"","式")</f>
        <v/>
      </c>
      <c r="J1018" s="220" t="str">
        <f>IF(OR(D976=0,D977="　"),"",MID(F1018,3,2))</f>
        <v/>
      </c>
      <c r="K1018" s="206" t="str">
        <f>IFERROR(D976*J1018,"")</f>
        <v/>
      </c>
    </row>
    <row r="1019" spans="2:11" ht="12" customHeight="1">
      <c r="B1019" s="229"/>
      <c r="C1019" s="230"/>
      <c r="D1019" s="231"/>
      <c r="E1019" s="232"/>
      <c r="F1019" s="233"/>
      <c r="G1019" s="234"/>
      <c r="H1019" s="235"/>
      <c r="I1019" s="236"/>
      <c r="J1019" s="237"/>
      <c r="K1019" s="229"/>
    </row>
    <row r="1020" spans="2:11" ht="12" customHeight="1">
      <c r="B1020" s="238" t="s">
        <v>30</v>
      </c>
      <c r="C1020" s="239" t="s">
        <v>31</v>
      </c>
      <c r="D1020" s="240"/>
      <c r="E1020" s="241"/>
      <c r="F1020" s="242" t="s">
        <v>157</v>
      </c>
      <c r="G1020" s="243"/>
      <c r="H1020" s="244"/>
      <c r="I1020" s="245" t="s">
        <v>55</v>
      </c>
      <c r="J1020" s="246">
        <f>IFERROR(MROUND(0.25*PI()*(0.001*D991)^2*(D984+D985+D990)*(1+2.2),0.01),"")</f>
        <v>0.17</v>
      </c>
      <c r="K1020" s="246">
        <f>IFERROR(D976*J1020,"")</f>
        <v>1.7000000000000002</v>
      </c>
    </row>
    <row r="1022" spans="2:11" ht="12" customHeight="1">
      <c r="B1022" s="247" t="s">
        <v>136</v>
      </c>
      <c r="C1022" s="247"/>
      <c r="D1022" s="247"/>
      <c r="F1022" s="163"/>
      <c r="G1022" s="164"/>
      <c r="H1022" s="164"/>
    </row>
    <row r="1023" spans="2:11" ht="12" customHeight="1">
      <c r="B1023" s="15" t="s">
        <v>111</v>
      </c>
      <c r="C1023" s="15"/>
      <c r="D1023" s="1"/>
      <c r="E1023" s="1"/>
      <c r="H1023" s="119"/>
      <c r="J1023" s="118"/>
    </row>
    <row r="1024" spans="2:11" ht="12" customHeight="1">
      <c r="B1024" s="165" t="s">
        <v>166</v>
      </c>
      <c r="C1024" s="3"/>
      <c r="D1024" s="1"/>
      <c r="E1024" s="1"/>
      <c r="F1024" s="8"/>
      <c r="G1024" s="8"/>
      <c r="H1024" s="102"/>
      <c r="I1024" s="28"/>
      <c r="J1024" s="118"/>
    </row>
    <row r="1025" spans="2:11" ht="12" customHeight="1">
      <c r="B1025" s="15" t="s">
        <v>40</v>
      </c>
      <c r="C1025" s="3"/>
      <c r="D1025" s="1"/>
      <c r="E1025" s="1"/>
      <c r="F1025" s="15" t="s">
        <v>54</v>
      </c>
      <c r="G1025" s="15"/>
      <c r="H1025" s="102"/>
      <c r="I1025" s="28"/>
    </row>
    <row r="1026" spans="2:11" ht="12" customHeight="1">
      <c r="B1026" s="2" t="s">
        <v>53</v>
      </c>
      <c r="C1026" s="2" t="s">
        <v>21</v>
      </c>
      <c r="D1026" s="2" t="s">
        <v>22</v>
      </c>
      <c r="E1026" s="17"/>
      <c r="F1026" s="49" t="s">
        <v>41</v>
      </c>
      <c r="G1026" s="97" t="s">
        <v>59</v>
      </c>
      <c r="H1026" s="49" t="s">
        <v>44</v>
      </c>
      <c r="I1026" s="2" t="s">
        <v>21</v>
      </c>
      <c r="J1026" s="49" t="s">
        <v>138</v>
      </c>
      <c r="K1026" s="2" t="s">
        <v>28</v>
      </c>
    </row>
    <row r="1027" spans="2:11" ht="12" customHeight="1">
      <c r="B1027" s="166" t="s">
        <v>25</v>
      </c>
      <c r="C1027" s="18" t="s">
        <v>24</v>
      </c>
      <c r="D1027" s="167">
        <v>10</v>
      </c>
      <c r="E1027" s="19"/>
      <c r="F1027" s="168" t="s">
        <v>43</v>
      </c>
      <c r="G1027" s="169" t="s">
        <v>113</v>
      </c>
      <c r="H1027" s="88" t="str" cm="1">
        <f t="array" ref="H1027">_xlfn.IFS(AND(F1027&lt;&gt;"非削孔",F1027&lt;&gt;"無設定"),D1042,F1027="非削孔",IF(MID(D1031,1,3)="土留め","非削孔","箱抜き"),F1027="無設定","無設定")</f>
        <v>箱抜き</v>
      </c>
      <c r="I1027" s="23" t="str">
        <f>IF(F1027="無設定","","m")</f>
        <v>m</v>
      </c>
      <c r="J1027" s="170">
        <v>0.5</v>
      </c>
      <c r="K1027" s="30">
        <f>D1027*J1027</f>
        <v>5</v>
      </c>
    </row>
    <row r="1028" spans="2:11" ht="12" customHeight="1">
      <c r="B1028" s="171" t="s">
        <v>37</v>
      </c>
      <c r="C1028" s="50" t="s">
        <v>38</v>
      </c>
      <c r="D1028" s="172" t="s">
        <v>159</v>
      </c>
      <c r="E1028" s="173"/>
      <c r="F1028" s="174" t="s">
        <v>49</v>
      </c>
      <c r="G1028" s="169" t="s">
        <v>114</v>
      </c>
      <c r="H1028" s="88" cm="1">
        <f t="array" ref="H1028">_xlfn.IFS(AND(F1028&lt;&gt;"非削孔",F1028&lt;&gt;"無設定"),D1042,F1028="非削孔","箱抜き",F1028="無設定","無設定")</f>
        <v>90</v>
      </c>
      <c r="I1028" s="23" t="str">
        <f t="shared" ref="I1028:I1036" si="40">IF(F1028="無設定","","m")</f>
        <v>m</v>
      </c>
      <c r="J1028" s="170">
        <v>2.64</v>
      </c>
      <c r="K1028" s="30">
        <f>D1027*J1028</f>
        <v>26.400000000000002</v>
      </c>
    </row>
    <row r="1029" spans="2:11" ht="12" customHeight="1">
      <c r="B1029" s="52" t="s">
        <v>39</v>
      </c>
      <c r="C1029" s="91" t="s">
        <v>38</v>
      </c>
      <c r="D1029" s="175" t="s">
        <v>60</v>
      </c>
      <c r="E1029" s="140"/>
      <c r="F1029" s="174" t="s">
        <v>49</v>
      </c>
      <c r="G1029" s="169" t="s">
        <v>115</v>
      </c>
      <c r="H1029" s="88" cm="1">
        <f t="array" ref="H1029">_xlfn.IFS(AND(F1029&lt;&gt;"非削孔",F1029&lt;&gt;"無設定"),D1042,F1029="非削孔","箱抜き",F1029="無設定","無設定")</f>
        <v>90</v>
      </c>
      <c r="I1029" s="23" t="str">
        <f t="shared" si="40"/>
        <v>m</v>
      </c>
      <c r="J1029" s="170">
        <v>5.36</v>
      </c>
      <c r="K1029" s="30">
        <f>D1027*J1029</f>
        <v>53.6</v>
      </c>
    </row>
    <row r="1030" spans="2:11" ht="12" customHeight="1">
      <c r="B1030" s="147" t="s">
        <v>140</v>
      </c>
      <c r="C1030" s="91" t="s">
        <v>38</v>
      </c>
      <c r="D1030" s="176" t="s">
        <v>141</v>
      </c>
      <c r="E1030" s="141"/>
      <c r="F1030" s="174" t="s">
        <v>48</v>
      </c>
      <c r="G1030" s="169"/>
      <c r="H1030" s="88" t="str" cm="1">
        <f t="array" ref="H1030">_xlfn.IFS(AND(F1030&lt;&gt;"非削孔",F1030&lt;&gt;"無設定"),D1042,F1030="非削孔","箱抜き",F1030="無設定","無設定")</f>
        <v>無設定</v>
      </c>
      <c r="I1030" s="23" t="str">
        <f t="shared" si="40"/>
        <v/>
      </c>
      <c r="J1030" s="170">
        <v>0</v>
      </c>
      <c r="K1030" s="30">
        <f>D1027*J1030</f>
        <v>0</v>
      </c>
    </row>
    <row r="1031" spans="2:11" ht="12" customHeight="1">
      <c r="B1031" s="147" t="s">
        <v>142</v>
      </c>
      <c r="C1031" s="91" t="s">
        <v>38</v>
      </c>
      <c r="D1031" s="177" t="s">
        <v>160</v>
      </c>
      <c r="E1031" s="21"/>
      <c r="F1031" s="174" t="s">
        <v>48</v>
      </c>
      <c r="G1031" s="169"/>
      <c r="H1031" s="88" t="str" cm="1">
        <f t="array" ref="H1031">_xlfn.IFS(AND(F1031&lt;&gt;"非削孔",F1031&lt;&gt;"無設定"),D1042,F1031="非削孔","箱抜き",F1031="無設定","無設定")</f>
        <v>無設定</v>
      </c>
      <c r="I1031" s="23" t="str">
        <f t="shared" si="40"/>
        <v/>
      </c>
      <c r="J1031" s="170">
        <v>0</v>
      </c>
      <c r="K1031" s="30">
        <f>D1027*J1031</f>
        <v>0</v>
      </c>
    </row>
    <row r="1032" spans="2:11" ht="12" customHeight="1">
      <c r="B1032" s="114" t="str">
        <f>IF(MID(D1031,1,3)="土留め",D1031&amp;"の種類","")</f>
        <v/>
      </c>
      <c r="C1032" s="91" t="s">
        <v>38</v>
      </c>
      <c r="D1032" s="178" t="s">
        <v>71</v>
      </c>
      <c r="E1032" s="21"/>
      <c r="F1032" s="174" t="s">
        <v>48</v>
      </c>
      <c r="G1032" s="169"/>
      <c r="H1032" s="88" t="str" cm="1">
        <f t="array" ref="H1032">_xlfn.IFS(AND(F1032&lt;&gt;"非削孔",F1032&lt;&gt;"無設定"),D1042,F1032="非削孔","箱抜き",F1032="無設定","無設定")</f>
        <v>無設定</v>
      </c>
      <c r="I1032" s="23" t="str">
        <f t="shared" si="40"/>
        <v/>
      </c>
      <c r="J1032" s="170">
        <v>0</v>
      </c>
      <c r="K1032" s="30">
        <f>D1027*J1032</f>
        <v>0</v>
      </c>
    </row>
    <row r="1033" spans="2:11" ht="12" customHeight="1">
      <c r="B1033" s="179" t="s">
        <v>50</v>
      </c>
      <c r="C1033" s="180" t="s">
        <v>38</v>
      </c>
      <c r="D1033" s="181" t="s">
        <v>51</v>
      </c>
      <c r="E1033" s="182"/>
      <c r="F1033" s="174" t="s">
        <v>48</v>
      </c>
      <c r="G1033" s="169"/>
      <c r="H1033" s="88" t="str" cm="1">
        <f t="array" ref="H1033">_xlfn.IFS(AND(F1033&lt;&gt;"非削孔",F1033&lt;&gt;"無設定"),D1042,F1033="非削孔","箱抜き",F1033="無設定","無設定")</f>
        <v>無設定</v>
      </c>
      <c r="I1033" s="23" t="str">
        <f t="shared" si="40"/>
        <v/>
      </c>
      <c r="J1033" s="170">
        <v>0</v>
      </c>
      <c r="K1033" s="30">
        <f>D1027*J1033</f>
        <v>0</v>
      </c>
    </row>
    <row r="1034" spans="2:11" ht="12" customHeight="1">
      <c r="B1034" s="160" t="str" cm="1">
        <f t="array" ref="B1034">"頭部自由長"&amp;_xlfn.IFS(MID(D1031,1,2)="なし","",MID(D1031,1,3)="受圧体","(受圧体)",MID(D1031,1,3)="のり面","(角度台座＋受圧体)",MID(D1031,1,3)="構造物","(壁面台座)",MID(D1031,1,3)="土留め","(台座+腹起し)")&amp;"　Lfh"</f>
        <v>頭部自由長(角度台座＋受圧体)　Lfh</v>
      </c>
      <c r="C1034" s="155" t="s">
        <v>23</v>
      </c>
      <c r="D1034" s="183">
        <v>0.5</v>
      </c>
      <c r="E1034" s="21"/>
      <c r="F1034" s="174" t="s">
        <v>144</v>
      </c>
      <c r="G1034" s="169"/>
      <c r="H1034" s="88" cm="1">
        <f t="array" ref="H1034">_xlfn.IFS(AND(F1034&lt;&gt;"非削孔",F1034&lt;&gt;"無設定"),D1042,F1034="非削孔","箱抜き",F1034="無設定","無設定")</f>
        <v>90</v>
      </c>
      <c r="I1034" s="23" t="str">
        <f t="shared" si="40"/>
        <v>m</v>
      </c>
      <c r="J1034" s="170">
        <v>0</v>
      </c>
      <c r="K1034" s="30">
        <f>D1027*J1034</f>
        <v>0</v>
      </c>
    </row>
    <row r="1035" spans="2:11" ht="12" customHeight="1">
      <c r="B1035" s="22" t="s">
        <v>108</v>
      </c>
      <c r="C1035" s="23" t="s">
        <v>23</v>
      </c>
      <c r="D1035" s="184">
        <v>4</v>
      </c>
      <c r="E1035" s="21"/>
      <c r="F1035" s="174" t="s">
        <v>48</v>
      </c>
      <c r="G1035" s="169"/>
      <c r="H1035" s="88" t="str" cm="1">
        <f t="array" ref="H1035">_xlfn.IFS(AND(F1035&lt;&gt;"非削孔",F1035&lt;&gt;"無設定"),D1042,F1035="非削孔","箱抜き",F1035="無設定","無設定")</f>
        <v>無設定</v>
      </c>
      <c r="I1035" s="23" t="str">
        <f t="shared" si="40"/>
        <v/>
      </c>
      <c r="J1035" s="170">
        <v>0</v>
      </c>
      <c r="K1035" s="30">
        <f>D1027*J1035</f>
        <v>0</v>
      </c>
    </row>
    <row r="1036" spans="2:11" ht="12" customHeight="1">
      <c r="B1036" s="157" t="s">
        <v>36</v>
      </c>
      <c r="C1036" s="158" t="s">
        <v>23</v>
      </c>
      <c r="D1036" s="185">
        <v>4</v>
      </c>
      <c r="F1036" s="186" t="str" cm="1">
        <f t="array" ref="F1036">INDEX(F1027:H1035,MATCH("無設定",F1027:F1035,0)-1,MATCH(F1026,F1026:H1026,0))</f>
        <v>軟　岩</v>
      </c>
      <c r="G1036" s="100" t="str" cm="1">
        <f t="array" ref="G1036">INDEX(F1027:H1035,MATCH("無設定",F1027:F1035,0)-1,MATCH(G1026,F1026:H1026,0))&amp;"　(先端長 L2d)"</f>
        <v>風化岩 CL　(先端長 L2d)</v>
      </c>
      <c r="H1036" s="88" cm="1">
        <f t="array" ref="H1036">INDEX(F1027:H1035,MATCH("無設定",F1027:F1035,0)-1,MATCH(H1026,F1026:H1026,0))</f>
        <v>90</v>
      </c>
      <c r="I1036" s="23" t="str">
        <f t="shared" si="40"/>
        <v>m</v>
      </c>
      <c r="J1036" s="98">
        <f>D1041</f>
        <v>0.25</v>
      </c>
      <c r="K1036" s="78">
        <f>IFERROR(D1027*J1036,"")</f>
        <v>2.5</v>
      </c>
    </row>
    <row r="1037" spans="2:11" ht="12" customHeight="1">
      <c r="B1037" s="154" t="s">
        <v>145</v>
      </c>
      <c r="C1037" s="155" t="s">
        <v>23</v>
      </c>
      <c r="D1037" s="187">
        <f>IF(OR(D1027=0,D1028="　"),"──",SUM(D1034:D1035))</f>
        <v>4.5</v>
      </c>
      <c r="E1037" s="19"/>
      <c r="F1037" s="188"/>
      <c r="G1037" s="75" t="s">
        <v>124</v>
      </c>
      <c r="H1037" s="103"/>
      <c r="I1037" s="18" t="s">
        <v>23</v>
      </c>
      <c r="J1037" s="74">
        <f>SUMIFS(J1027:J1036,F1027:F1036,"&lt;&gt;非削孔",F1027:F1036,"&lt;&gt;無設定")</f>
        <v>8.25</v>
      </c>
      <c r="K1037" s="95">
        <f>SUMIFS(K1027:K1036,F1027:F1036,"&lt;&gt;非削孔",F1027:F1036,"&lt;&gt;無設定")</f>
        <v>82.5</v>
      </c>
    </row>
    <row r="1038" spans="2:11" ht="12" customHeight="1">
      <c r="B1038" s="146" t="s">
        <v>146</v>
      </c>
      <c r="C1038" s="23" t="s">
        <v>23</v>
      </c>
      <c r="D1038" s="189" cm="1">
        <f t="array" ref="D1038">IF(OR(D1027=0,D1028="　"),"──",IF(MID(D1028,4,1)="5",_xlfn.IFS(1*MID(LEFT(D1028, LEN(D1028)-1),6,2)&lt;8,1,1*MID(LEFT(D1028, LEN(D1028)-1),6,2)&lt;13,1.2),_xlfn.IFS(1*MID(LEFT(D1028, LEN(D1028)-1),6,2)&lt;6,1,1*MID(LEFT(D1028, LEN(D1028)-1),6,2)&lt;15,1.2)))</f>
        <v>1</v>
      </c>
      <c r="E1038" s="19"/>
      <c r="F1038" s="190"/>
      <c r="G1038" s="76" t="s">
        <v>47</v>
      </c>
      <c r="H1038" s="104"/>
      <c r="I1038" s="79" t="s">
        <v>46</v>
      </c>
      <c r="J1038" s="77" t="str">
        <f>IF(OR(D1027=0,D1028="　"),"",IF(SUM(D1035:D1036,D1041)=J1037,"OK","NG"))</f>
        <v>OK</v>
      </c>
      <c r="K1038" s="145" t="str">
        <f>IF(J1038&lt;&gt;"NG","──",J1037-SUM(D1035:D1036,D1041))</f>
        <v>──</v>
      </c>
    </row>
    <row r="1039" spans="2:11" ht="12" customHeight="1">
      <c r="B1039" s="22" t="s">
        <v>125</v>
      </c>
      <c r="C1039" s="23" t="s">
        <v>35</v>
      </c>
      <c r="D1039" s="84">
        <f>IF(OR(D1027=0,D1028="　"),"──",0.2)</f>
        <v>0.2</v>
      </c>
      <c r="F1039" s="191" t="s">
        <v>58</v>
      </c>
      <c r="G1039" s="248" t="s">
        <v>110</v>
      </c>
      <c r="H1039" s="249"/>
      <c r="I1039" s="249"/>
      <c r="J1039" s="249"/>
      <c r="K1039" s="250"/>
    </row>
    <row r="1040" spans="2:11" ht="12" customHeight="1">
      <c r="B1040" s="6" t="s">
        <v>147</v>
      </c>
      <c r="C1040" s="23" t="s">
        <v>23</v>
      </c>
      <c r="D1040" s="60">
        <f>IF(OR(D1027=0,D1028="　"),"──",SUM(D1036:D1039))</f>
        <v>9.6999999999999993</v>
      </c>
    </row>
    <row r="1041" spans="2:11" ht="12" customHeight="1">
      <c r="B1041" s="25" t="s">
        <v>127</v>
      </c>
      <c r="C1041" s="26" t="s">
        <v>23</v>
      </c>
      <c r="D1041" s="27">
        <f>IF(OR(D1027=0,D1028="　"),"──",0.25)</f>
        <v>0.25</v>
      </c>
      <c r="F1041" s="8"/>
      <c r="G1041" s="8"/>
      <c r="H1041" s="102"/>
    </row>
    <row r="1042" spans="2:11" ht="12" customHeight="1">
      <c r="B1042" s="95" t="s">
        <v>123</v>
      </c>
      <c r="C1042" s="18" t="s">
        <v>32</v>
      </c>
      <c r="D1042" s="192">
        <v>90</v>
      </c>
      <c r="E1042" s="193" t="str">
        <f>IF(D1042&lt;D1043,"NG：削孔径不適合","")</f>
        <v/>
      </c>
      <c r="F1042" s="8"/>
      <c r="G1042" s="8"/>
      <c r="H1042" s="102"/>
    </row>
    <row r="1043" spans="2:11" ht="12" customHeight="1">
      <c r="B1043" s="25" t="s">
        <v>122</v>
      </c>
      <c r="C1043" s="26" t="s">
        <v>32</v>
      </c>
      <c r="D1043" s="194" cm="1">
        <f t="array" ref="D1043">IF(OR(D1027=0,D1028="　"),"──",IF(D1033="なし",IF(MID(D1028,4,1)="5",_xlfn.IFS(1*MID(LEFT(D1028, LEN(D1028)-1),6,2)&lt;6,90,1*MID(LEFT(D1028, LEN(D1028)-1),6,2)&lt;9,115,1*MID(LEFT(D1028, LEN(D1028)-1),6,2)&gt;8,135),_xlfn.IFS(1*MID(LEFT(D1028, LEN(D1028)-1),6,2)&lt;4,90,1*MID(LEFT(D1028, LEN(D1028)-1),6,2)&lt;7,115,1*MID(LEFT(D1028, LEN(D1028)-1),6,2)&lt;10,135,1*MID(LEFT(D1028, LEN(D1028)-1),6,2)&lt;13,146,1*MID(LEFT(D1028, LEN(D1028)-1),6,2)&gt;12,165)),IF(MID(D1028,4,1)="5",_xlfn.IFS(1*MID(LEFT(D1028, LEN(D1028)-1),6,2)&lt;3,90,1*MID(LEFT(D1028, LEN(D1028)-1),6,2)&lt;7,115,1*MID(LEFT(D1028, LEN(D1028)-1),6,2)&lt;9,135,1*MID(LEFT(D1028, LEN(D1028)-1),6,2)&gt;8,146),_xlfn.IFS(1*MID(LEFT(D1028, LEN(D1028)-1),6,2)&lt;3,90,1*MID(LEFT(D1028, LEN(D1028)-1),6,2)&lt;4,115,1*MID(LEFT(D1028, LEN(D1028)-1),6,2)&lt;6,135,1*MID(LEFT(D1028, LEN(D1028)-1),6,2)&lt;10,146,1*MID(LEFT(D1028, LEN(D1028)-1),6,2)&lt;13,165,1*MID(LEFT(D1028, LEN(D1028)-1),6,2)&gt;12,216))))</f>
        <v>90</v>
      </c>
      <c r="E1043" s="195"/>
      <c r="F1043" s="8"/>
      <c r="G1043" s="8"/>
      <c r="H1043" s="102"/>
    </row>
    <row r="1044" spans="2:11" ht="12" customHeight="1">
      <c r="B1044" s="20"/>
      <c r="C1044" s="46"/>
      <c r="D1044" s="117"/>
      <c r="F1044" s="8"/>
      <c r="G1044" s="8"/>
      <c r="H1044" s="102"/>
    </row>
    <row r="1045" spans="2:11" ht="12" customHeight="1">
      <c r="B1045" s="15" t="str">
        <f>"■"&amp;MID(B1022,2,14)</f>
        <v>■本設：EHDアンカーHP工法</v>
      </c>
      <c r="C1045" s="3"/>
      <c r="D1045" s="1"/>
      <c r="E1045" s="1"/>
      <c r="F1045" s="8"/>
      <c r="G1045" s="8"/>
      <c r="H1045" s="102"/>
    </row>
    <row r="1046" spans="2:11" ht="12" customHeight="1">
      <c r="B1046" s="2" t="s">
        <v>17</v>
      </c>
      <c r="C1046" s="43"/>
      <c r="D1046" s="196" t="s">
        <v>148</v>
      </c>
      <c r="E1046" s="135"/>
      <c r="F1046" s="16"/>
      <c r="G1046" s="61" t="s">
        <v>42</v>
      </c>
      <c r="H1046" s="97"/>
      <c r="I1046" s="2" t="s">
        <v>21</v>
      </c>
      <c r="J1046" s="49" t="s">
        <v>149</v>
      </c>
      <c r="K1046" s="2" t="s">
        <v>28</v>
      </c>
    </row>
    <row r="1047" spans="2:11" ht="12" customHeight="1">
      <c r="B1047" s="197" t="s">
        <v>150</v>
      </c>
      <c r="C1047" s="198" t="str">
        <f>IF(OR(D1027=0,D1028="　"),"",D1028&amp;" ("&amp;MID(LEFT(D1028, LEN(D1028)-1),6,2)&amp;IF(MID(D1028,4,1)="5","φ12.7","φ15.2")&amp;")")</f>
        <v>EHD5-4H (4φ12.7)</v>
      </c>
      <c r="D1047" s="199"/>
      <c r="E1047" s="200"/>
      <c r="F1047" s="201" t="str">
        <f>"W=テンドン長×PC鋼より線本数×"&amp;IF(MID(D1028,4,1)="5","0.774","1.101")&amp;"kg/m"</f>
        <v>W=テンドン長×PC鋼より線本数×0.774kg/m</v>
      </c>
      <c r="G1047" s="202"/>
      <c r="H1047" s="203"/>
      <c r="I1047" s="204" t="s">
        <v>11</v>
      </c>
      <c r="J1047" s="205">
        <f>IF(OR(D1027=0,D1028="　"),"",MROUND(D1040*MID(LEFT(D1028, LEN(D1028)-1),6,2)*IF(MID(D1028,4,1)="5","0.774","1.101"),0.01))</f>
        <v>30.03</v>
      </c>
      <c r="K1047" s="205">
        <f>IFERROR(D1027*J1047,"")</f>
        <v>300.3</v>
      </c>
    </row>
    <row r="1048" spans="2:11" ht="12" customHeight="1">
      <c r="B1048" s="206" t="s">
        <v>151</v>
      </c>
      <c r="C1048" s="207"/>
      <c r="D1048" s="208"/>
      <c r="E1048" s="209"/>
      <c r="F1048" s="210" t="s">
        <v>33</v>
      </c>
      <c r="G1048" s="211"/>
      <c r="H1048" s="212"/>
      <c r="I1048" s="213" t="s">
        <v>12</v>
      </c>
      <c r="J1048" s="214">
        <f>IF(OR(D1027=0,D1028="　"),"",MROUND(D1040,0.1))</f>
        <v>9.7000000000000011</v>
      </c>
      <c r="K1048" s="214">
        <f>IFERROR(D1027*J1048,"")</f>
        <v>97.000000000000014</v>
      </c>
    </row>
    <row r="1049" spans="2:11" ht="12" customHeight="1">
      <c r="B1049" s="206" t="str">
        <f>"頭部キャップ"</f>
        <v>頭部キャップ</v>
      </c>
      <c r="C1049" s="207" t="str" cm="1">
        <f t="array" ref="C1049">IF(OR(D1027=0,D1028="　"),"",IF(MID(D1028,4,1)="5",_xlfn.SWITCH(1*MID(LEFT(D1028, LEN(D1028)-1),6,2),1,"S",2,"S",3,"S",4,"S",5,"M",6,"M",7,"M",8,"L",9,"L",10,"L",11,"L",12,"L"),_xlfn.SWITCH(1*MID(LEFT(D1028, LEN(D1028)-1),6,2),1,"S",2,"S",3,"M",4,"M",5,"L",6,"L",7,"L",8,"LL",9,"LL",10,"LL",11,"LL",12,"LL",13,"LL",14,"LL"))&amp;"型"&amp;D1030&amp;IF(OR(MID(D1030,1,2)="透明",MID(D1030,1,2)="5窓"),"、PC樹脂","")&amp;"、ｱﾙﾐAC4C相当"&amp;_xlfn.IFS(MID(D1029,1,3)="防食Ⅱ","",MID(D1029,5,2)="塩害","、防食：ﾀｹｺｰﾄ処理",MID(D1029,5,2)="酸性","、防食：重防食処理"))</f>
        <v>S型透明キャップ、PC樹脂、ｱﾙﾐAC4C相当</v>
      </c>
      <c r="D1049" s="215"/>
      <c r="E1049" s="216"/>
      <c r="F1049" s="217" t="str">
        <f t="shared" ref="F1049:F1055" si="41">"n=1"</f>
        <v>n=1</v>
      </c>
      <c r="G1049" s="218"/>
      <c r="H1049" s="219"/>
      <c r="I1049" s="213" t="s">
        <v>13</v>
      </c>
      <c r="J1049" s="220" t="str">
        <f>IF(OR(D1027=0,D1028="　"),"",MID(F1049,3,2))</f>
        <v>1</v>
      </c>
      <c r="K1049" s="214">
        <f>IFERROR(D1027*J1049,"")</f>
        <v>10</v>
      </c>
    </row>
    <row r="1050" spans="2:11" ht="12" customHeight="1">
      <c r="B1050" s="206" t="s">
        <v>5</v>
      </c>
      <c r="C1050" s="207" t="str" cm="1">
        <f t="array" ref="C1050">IF(OR(D1027=0,D1028="　"),"",IF(MID(D1028,4,1)="5","G5"&amp;_xlfn.SWITCH(1*MID(LEFT(D1028, LEN(D1028)-1),6,2),1,"01",2,"02",3,"03",4,"04",5,"07",6,"07",7,"07",8,"09",9,"09",10,"12",11,"12",12,"12"),"G6"&amp;_xlfn.SWITCH(1*MID(LEFT(D1028, LEN(D1028)-1),6,2),1,"01",2,"02",3,"03",4,"04",5,"07",6,"07",7,"07",8,"09",9,"09",10,"12",11,"12",12,"12",13,"14",14,"14"))&amp;"、S45C相当"&amp;IF(MID(D1030,1,3)&lt;&gt;"アルミ","、防食：無電解Niめっき",""))</f>
        <v>G504、S45C相当、防食：無電解Niめっき</v>
      </c>
      <c r="D1050" s="208"/>
      <c r="E1050" s="209"/>
      <c r="F1050" s="217" t="str">
        <f t="shared" si="41"/>
        <v>n=1</v>
      </c>
      <c r="G1050" s="218"/>
      <c r="H1050" s="219"/>
      <c r="I1050" s="213" t="s">
        <v>13</v>
      </c>
      <c r="J1050" s="220" t="str">
        <f>IF(OR(D1027=0,D1028="　"),"",MID(F1050,3,2))</f>
        <v>1</v>
      </c>
      <c r="K1050" s="214">
        <f>IFERROR(D1027*J1050,"")</f>
        <v>10</v>
      </c>
    </row>
    <row r="1051" spans="2:11" ht="12" customHeight="1">
      <c r="B1051" s="206" t="s">
        <v>152</v>
      </c>
      <c r="C1051" s="207" t="str" cm="1">
        <f t="array" ref="C1051">IF(OR(D1027=0,D1028="　"),"",IF(MID(D1028,4,1)="5","G5"&amp;_xlfn.SWITCH(1*MID(LEFT(D1028, LEN(D1028)-1),6,2),1,"01",2,"02",3,"03",4,"04",5,"07",6,"07",7,"07",8,"09",9,"09",10,"12",11,"12",12,"12"),"G6"&amp;_xlfn.SWITCH(1*MID(LEFT(D1028, LEN(D1028)-1),6,2),1,"01",2,"02",3,"03",4,"04",5,"07",6,"07",7,"07",8,"09",9,"09",10,"12",11,"12",12,"12",13,"14",14,"14"))&amp;"、S45C相当"&amp;IF(MID(D1030,1,3)&lt;&gt;"アルミ","、防食：無電解Niめっき",""))</f>
        <v>G504、S45C相当、防食：無電解Niめっき</v>
      </c>
      <c r="D1051" s="208"/>
      <c r="E1051" s="209"/>
      <c r="F1051" s="217" t="str">
        <f t="shared" si="41"/>
        <v>n=1</v>
      </c>
      <c r="G1051" s="218"/>
      <c r="H1051" s="219"/>
      <c r="I1051" s="213" t="s">
        <v>13</v>
      </c>
      <c r="J1051" s="220" t="str">
        <f>IF(OR(D1027=0,D1028="　"),"",MID(F1051,3,2))</f>
        <v>1</v>
      </c>
      <c r="K1051" s="214">
        <f>IFERROR(D1027*J1051,"")</f>
        <v>10</v>
      </c>
    </row>
    <row r="1052" spans="2:11" ht="12" customHeight="1">
      <c r="B1052" s="206" t="s">
        <v>7</v>
      </c>
      <c r="C1052" s="207" t="str">
        <f>IF(OR(D1027=0,D1028="　"),"",IF(1*MID(D1028,4,1)=5,"ECF12.7","ECF15.2")&amp;"、SCM415相当"&amp;IF(MID(D1030,1,3)&lt;&gt;"アルミ","、防食：無電解Niめっき",""))</f>
        <v>ECF12.7、SCM415相当、防食：無電解Niめっき</v>
      </c>
      <c r="D1052" s="208"/>
      <c r="E1052" s="209"/>
      <c r="F1052" s="217" t="str">
        <f t="shared" si="41"/>
        <v>n=1</v>
      </c>
      <c r="G1052" s="218"/>
      <c r="H1052" s="219"/>
      <c r="I1052" s="213" t="s">
        <v>27</v>
      </c>
      <c r="J1052" s="220" t="str">
        <f>IF(OR(D1027=0,D1028="　"),"",MID(F1052,3,2))</f>
        <v>1</v>
      </c>
      <c r="K1052" s="214">
        <f>IFERROR(D1027*J1052,"")</f>
        <v>10</v>
      </c>
    </row>
    <row r="1053" spans="2:11" ht="12" customHeight="1">
      <c r="B1053" s="206" t="s">
        <v>153</v>
      </c>
      <c r="C1053" s="207" t="str" cm="1">
        <f t="array" ref="C1053">IF(OR(D1027=0,D1028="　"),"",IF(MID(D1028,4,1)="5","G5"&amp;_xlfn.SWITCH(1*MID(LEFT(D1028, LEN(D1028)-1),6,2),1,"01",2,"04",3,"03",4,"04",5,"07",6,"07",7,"07",8,"12",9,"12",10,"12",11,"12",12,"12"),"G6"&amp;_xlfn.SWITCH(1*MID(LEFT(D1028, LEN(D1028)-1),6,2),1,"01",2,"02",3,"03",4,"04",5,"07",6,"07",7,"07",8,"12",9,"12",10,"12",11,"12",12,"12",13,"14",14,"14"))&amp;"、SS400相当、防食："&amp;_xlfn.IFS(MID(D1029,1,3)="防食Ⅱ","HDZT77めっき",MID(D1029,5,2)="塩害","ｱﾙﾐﾅｲｽﾞ処理",MID(D1029,5,2)="酸性","重防食処理"))</f>
        <v>G504、SS400相当、防食：HDZT77めっき</v>
      </c>
      <c r="D1053" s="208"/>
      <c r="E1053" s="209"/>
      <c r="F1053" s="217" t="str">
        <f t="shared" si="41"/>
        <v>n=1</v>
      </c>
      <c r="G1053" s="218"/>
      <c r="H1053" s="219"/>
      <c r="I1053" s="213" t="s">
        <v>16</v>
      </c>
      <c r="J1053" s="220" t="str">
        <f>IF(OR(D1027=0,D1028="　"),"",MID(F1053,3,2))</f>
        <v>1</v>
      </c>
      <c r="K1053" s="214">
        <f>IFERROR(D1027*J1053,"")</f>
        <v>10</v>
      </c>
    </row>
    <row r="1054" spans="2:11" ht="12" customHeight="1">
      <c r="B1054" s="206" t="str">
        <f>IF(MID(D1031,1,3)="のり面","管付","")&amp;"支圧板"</f>
        <v>管付支圧板</v>
      </c>
      <c r="C1054" s="221" t="str" cm="1">
        <f t="array" ref="C1054">IF(OR(D1027=0,D1028="　"),"","PL"&amp;IF(MID(D1031,1,3)="のり面","P","")&amp;IF(MID(D1028,4,1)="5","5-"&amp;_xlfn.SWITCH(1*MID(LEFT(D1028, LEN(D1028)-1),6,2),1,"1",2,"2",3,"3",4,"4",5,"5",6,"6",7,"7",8,"9",9,"9",10,"10",11,"11",12,"12"),"6-"&amp;_xlfn.SWITCH(1*MID(LEFT(D1028, LEN(D1028)-1),6,2),1,"1",2,"2",3,"3",4,"4",5,"6",6,"6",7,"7",8,"8",9,"9",10,"10",11,"11",12,"12",13,"14",14,"14"))&amp;"、SS400相当、防食："&amp;_xlfn.IFS(MID(D1029,1,3)="防食Ⅱ","HDZT77めっき",MID(D1029,5,2)="塩害","ｱﾙﾐﾅｲｽﾞ処理",MID(D1029,5,2)="酸性","重防食処理"))</f>
        <v>PLP5-4、SS400相当、防食：HDZT77めっき</v>
      </c>
      <c r="D1054" s="208"/>
      <c r="E1054" s="209"/>
      <c r="F1054" s="217" t="str">
        <f t="shared" si="41"/>
        <v>n=1</v>
      </c>
      <c r="G1054" s="218"/>
      <c r="H1054" s="219"/>
      <c r="I1054" s="213" t="s">
        <v>16</v>
      </c>
      <c r="J1054" s="220" t="str">
        <f>IF(OR(D1027=0,D1028="　"),"",MID(F1054,3,2))</f>
        <v>1</v>
      </c>
      <c r="K1054" s="214">
        <f>IFERROR(D1027*J1054,"")</f>
        <v>10</v>
      </c>
    </row>
    <row r="1055" spans="2:11" ht="12" customHeight="1">
      <c r="B1055" s="206" t="s">
        <v>154</v>
      </c>
      <c r="C1055" s="207" t="str">
        <f>IF(OR(D1027=0,D1028="　"),"","G"&amp;MID(LEFT(D1028, LEN(D1028)-1),4,4)&amp;"、NBR45相当")</f>
        <v>G5-4、NBR45相当</v>
      </c>
      <c r="D1055" s="208"/>
      <c r="E1055" s="209"/>
      <c r="F1055" s="217" t="str">
        <f t="shared" si="41"/>
        <v>n=1</v>
      </c>
      <c r="G1055" s="218"/>
      <c r="H1055" s="219"/>
      <c r="I1055" s="213" t="s">
        <v>13</v>
      </c>
      <c r="J1055" s="220" t="str">
        <f>IF(OR(D1027=0,D1028="　"),"",MID(F1055,3,2))</f>
        <v>1</v>
      </c>
      <c r="K1055" s="214">
        <f>IFERROR(D1027*J1055,"")</f>
        <v>10</v>
      </c>
    </row>
    <row r="1056" spans="2:11" ht="12" customHeight="1">
      <c r="B1056" s="206" t="str" cm="1">
        <f t="array" ref="B1056">_xlfn.IFS(OR(D1027=0,D1028="　"),"",MID(D1030,1,3)="アルミ","頭部防錆油",MID(D1030,1,3)&lt;&gt;"アルミ","余長キャップ")</f>
        <v>余長キャップ</v>
      </c>
      <c r="C1056" s="221" t="str" cm="1">
        <f t="array" ref="C1056">_xlfn.IFS(OR(D1027=0,D1028="　"),"",MID(D1030,1,3)="アルミ","PCコートC",MID(D1030,1,3)&lt;&gt;"アルミ","TC"&amp;MID(D1028,4,1)&amp;"、高密度ポチエチレン")</f>
        <v>TC5、高密度ポチエチレン</v>
      </c>
      <c r="D1056" s="208"/>
      <c r="E1056" s="209"/>
      <c r="F1056" s="217" t="str" cm="1">
        <f t="array" ref="F1056">_xlfn.IFS(OR(D1027=0,D1028="　"),"",MID(D1030,1,3)="アルミ","W="&amp;IF(MID(D1028,4,1)="5",_xlfn.SWITCH(1*MID(LEFT(D1028, LEN(D1028)-1),6,2),1,1.9,2,1.3,3,1.3,4,1.3,5,1.6,6,1.6,7,1.6,8,3.1,9,3.1,10,3.1,11,3.1,12,3.1),"G6"&amp;_xlfn.SWITCH(1*MID(LEFT(D1028, LEN(D1028)-1),6,2),1,1.8,2,1.3,3,1.8,4,1.8,5,3.3,6,3.3,7,3.3,8,9.9,9,9.9,10,9.9,11,9.9,12,9.9,13,9.9,14,9.9)),MID(D1030,1,3)&lt;&gt;"アルミ","n=1")</f>
        <v>n=1</v>
      </c>
      <c r="G1056" s="218"/>
      <c r="H1056" s="219"/>
      <c r="I1056" s="213" t="str" cm="1">
        <f t="array" ref="I1056">_xlfn.IFS(OR(D1027=0,D1028="　"),"",MID(D1030,1,3)="アルミ","kg",MID(D1030,1,3)&lt;&gt;"アルミ","式")</f>
        <v>式</v>
      </c>
      <c r="J1056" s="220" t="str">
        <f>IF(OR(D1027=0,D1028="　"),"",MID(F1056,3,4))</f>
        <v>1</v>
      </c>
      <c r="K1056" s="214">
        <f>IFERROR(D1027*J1056,"")</f>
        <v>10</v>
      </c>
    </row>
    <row r="1057" spans="2:11" ht="12" customHeight="1">
      <c r="B1057" s="206" t="s">
        <v>9</v>
      </c>
      <c r="C1057" s="207" t="str" cm="1">
        <f t="array" ref="C1057">IF(OR(D1027=0,D1028="　"),"",IF(MID(D1028,4,1)="5","PS5-"&amp;_xlfn.SWITCH(1*MID(LEFT(D1028, LEN(D1028)-1),6,2),1,"7",2,"2",3,"3",4,"4",5,"7",6,"7",7,"7",8,"12",9,"12",10,"12",11,"12",12,"12"),"PS6-"&amp;_xlfn.SWITCH(1*MID(LEFT(D1028, LEN(D1028)-1),6,2),1,"7",2,"2",3,"3",4,"4",5,"7",6,"7",7,"7",8,"12",9,"12",10,"12",11,"12",12,"12",13,"14",14,"14"))&amp;"、高密度ポリエチレン")</f>
        <v>PS5-4、高密度ポリエチレン</v>
      </c>
      <c r="D1057" s="208"/>
      <c r="E1057" s="209"/>
      <c r="F1057" s="217" t="str">
        <f>"n=2"</f>
        <v>n=2</v>
      </c>
      <c r="G1057" s="218"/>
      <c r="H1057" s="219"/>
      <c r="I1057" s="213" t="s">
        <v>13</v>
      </c>
      <c r="J1057" s="220" t="str">
        <f>IF(OR(D1027=0,D1028="　"),"",MID(F1057,3,2))</f>
        <v>2</v>
      </c>
      <c r="K1057" s="214">
        <f>IFERROR(D1027*J1057,"")</f>
        <v>20</v>
      </c>
    </row>
    <row r="1058" spans="2:11" ht="12" customHeight="1">
      <c r="B1058" s="206" t="s">
        <v>2</v>
      </c>
      <c r="C1058" s="207" t="str" cm="1">
        <f t="array" ref="C1058">IF(OR(D1027=0,D1028="　"),"",IF(MID(D1028,4,1)="5","S5-"&amp;_xlfn.IFS(1*MID(LEFT(D1028, LEN(D1028)-1),6,2)&lt;6,"5",1*MID(LEFT(D1028, LEN(D1028)-1),6,2)&lt;9,"8",1*MID(LEFT(D1028, LEN(D1028)-1),6,2)&gt;8,"12"),"S6-"&amp;_xlfn.IFS(1*MID(LEFT(D1028, LEN(D1028)-1),6,2)&lt;4,"3",1*MID(LEFT(D1028, LEN(D1028)-1),6,2)&lt;7,"6",1*MID(LEFT(D1028, LEN(D1028)-1),6,2)&lt;10,"9",1*MID(LEFT(D1028, LEN(D1028)-1),6,2)&lt;13,"12",1*MID(LEFT(D1028, LEN(D1028)-1),6,2)&gt;12,"14"))&amp;"、ポリプロピレン")</f>
        <v>S5-5、ポリプロピレン</v>
      </c>
      <c r="D1058" s="208"/>
      <c r="E1058" s="209"/>
      <c r="F1058" s="222" t="s">
        <v>155</v>
      </c>
      <c r="G1058" s="211"/>
      <c r="H1058" s="212"/>
      <c r="I1058" s="213" t="s">
        <v>13</v>
      </c>
      <c r="J1058" s="206">
        <f>IF(OR(D1027=0,D1028="　"),"",MROUND((D1036-0.4)/1,1))</f>
        <v>4</v>
      </c>
      <c r="K1058" s="214">
        <f>IFERROR(D1027*J1058,"")</f>
        <v>40</v>
      </c>
    </row>
    <row r="1059" spans="2:11" ht="12" customHeight="1">
      <c r="B1059" s="206" t="s">
        <v>1</v>
      </c>
      <c r="C1059" s="207" t="str" cm="1">
        <f t="array" ref="C1059">IF(OR(D1027=0,D1028="　"),"",IF(MID(D1028,4,1)="5","PC5-"&amp;_xlfn.IFS(1*MID(LEFT(D1028, LEN(D1028)-1),6,2)&lt;5,"4",1*MID(LEFT(D1028, LEN(D1028)-1),6,2)&lt;8,"7",1*MID(LEFT(D1028, LEN(D1028)-1),6,2)&lt;10,"9",1*MID(LEFT(D1028, LEN(D1028)-1),6,2)&gt;9,"12"),"PC6-"&amp;_xlfn.IFS(1*MID(LEFT(D1028, LEN(D1028)-1),6,2)&lt;4,"3",1*MID(LEFT(D1028, LEN(D1028)-1),6,2)&lt;8,"7",1*MID(LEFT(D1028, LEN(D1028)-1),6,2)&lt;13,"12",1*MID(LEFT(D1028, LEN(D1028)-1),6,2)&gt;12,"14"))&amp;"、ポリプロピレン")</f>
        <v>PC5-4、ポリプロピレン</v>
      </c>
      <c r="D1059" s="208"/>
      <c r="E1059" s="209"/>
      <c r="F1059" s="217" t="str">
        <f>"n=1"</f>
        <v>n=1</v>
      </c>
      <c r="G1059" s="218"/>
      <c r="H1059" s="219"/>
      <c r="I1059" s="213" t="s">
        <v>13</v>
      </c>
      <c r="J1059" s="220" t="str">
        <f>IF(OR(D1027=0,D1028="　"),"",MID(F1059,3,2))</f>
        <v>1</v>
      </c>
      <c r="K1059" s="214">
        <f>IFERROR(D1027*J1059,"")</f>
        <v>10</v>
      </c>
    </row>
    <row r="1060" spans="2:11" ht="12" customHeight="1">
      <c r="B1060" s="206" t="s">
        <v>3</v>
      </c>
      <c r="C1060" s="207" t="str">
        <f>IF(OR(D1027=0,D1028="　"),"","66ナイロン")</f>
        <v>66ナイロン</v>
      </c>
      <c r="D1060" s="208"/>
      <c r="E1060" s="209"/>
      <c r="F1060" s="222" t="s">
        <v>156</v>
      </c>
      <c r="G1060" s="211"/>
      <c r="H1060" s="212"/>
      <c r="I1060" s="213" t="s">
        <v>14</v>
      </c>
      <c r="J1060" s="206">
        <f>IF(OR(D1027=0,D1028="　"),"",2*J1058)</f>
        <v>8</v>
      </c>
      <c r="K1060" s="214">
        <f>IFERROR(D1027*J1060,"")</f>
        <v>80</v>
      </c>
    </row>
    <row r="1061" spans="2:11" ht="12" customHeight="1">
      <c r="B1061" s="206" t="s">
        <v>4</v>
      </c>
      <c r="C1061" s="207" t="str">
        <f>IF(OR(D1027=0,D1028="　"),"","フィラメントテープ")</f>
        <v>フィラメントテープ</v>
      </c>
      <c r="D1061" s="208"/>
      <c r="E1061" s="209"/>
      <c r="F1061" s="222" t="str">
        <f>IF(OR(D1027=0,D1028="　"),"","L=((自由長+緊張部長)÷@1.0m)×テープ係数"&amp;IF(MID(D1028,4,1)="5",_xlfn.IFS(1*MID(LEFT(D1028, LEN(D1028)-1),6,2)&lt;4,"0.8",1*MID(LEFT(D1028, LEN(D1028)-1),6,2)&lt;7,"1.0",1*MID(LEFT(D1028, LEN(D1028)-1),6,2)&lt;10,"1.2",1*MID(LEFT(D1028, LEN(D1028)-1),6,2)&lt;13,"1.4"),_xlfn.IFS(1*MID(LEFT(D1028, LEN(D1028)-1),6,2)&lt;4,"1.0",1*MID(LEFT(D1028, LEN(D1028)-1),6,2)&lt;7,"1.2",1*MID(LEFT(D1028, LEN(D1028)-1),6,2)&lt;10,"1.4",1*MID(LEFT(D1028, LEN(D1028)-1),6,2)&lt;15,"1.8")))</f>
        <v>L=((自由長+緊張部長)÷@1.0m)×テープ係数1.0</v>
      </c>
      <c r="G1061" s="211"/>
      <c r="H1061" s="212"/>
      <c r="I1061" s="213" t="s">
        <v>12</v>
      </c>
      <c r="J1061" s="223">
        <f>IF(OR(D1027=0,D1028="　"),"",MROUND((SUM(D1037,D1038))/1*RIGHT(F1061, 3),0.1))</f>
        <v>5.5</v>
      </c>
      <c r="K1061" s="214">
        <f>IFERROR(D1027*J1061,"")</f>
        <v>55</v>
      </c>
    </row>
    <row r="1062" spans="2:11" ht="12" customHeight="1">
      <c r="B1062" s="206" t="s">
        <v>0</v>
      </c>
      <c r="C1062" s="207" t="str">
        <f>IF(OR(D1027=0,D1028="　"),"","16/20、高密度ポリエチレン")</f>
        <v>16/20、高密度ポリエチレン</v>
      </c>
      <c r="D1062" s="208"/>
      <c r="E1062" s="209"/>
      <c r="F1062" s="210" t="s">
        <v>33</v>
      </c>
      <c r="G1062" s="211"/>
      <c r="H1062" s="212"/>
      <c r="I1062" s="213" t="s">
        <v>12</v>
      </c>
      <c r="J1062" s="214">
        <f>IF(OR(D1027=0,D1028="　"),"",MROUND(D1040,0.1))</f>
        <v>9.7000000000000011</v>
      </c>
      <c r="K1062" s="214">
        <f>IFERROR(D1027*J1062,"")</f>
        <v>97.000000000000014</v>
      </c>
    </row>
    <row r="1063" spans="2:11" ht="12" customHeight="1">
      <c r="B1063" s="206" t="str" cm="1">
        <f t="array" ref="B1063">_xlfn.IFS(OR(D1027=0,D1028="　",MID(D1031,1,2)="なし",MID(D1031,1,3)="受圧体"),"",MID(D1031,1,3)="のり面","のり面角度台座",MID(D1031,1,3)="構造物","構造物壁面台座",MID(D1031,1,3)="土留め","土留め台座")</f>
        <v>のり面角度台座</v>
      </c>
      <c r="C1063" s="210" t="str" cm="1">
        <f t="array" ref="C1063">IF(OR(D1027=0,D1028="　",MID(D1031,1,2)="なし",MID(D1031,1,3)="受圧体"),"",_xlfn.IFS(MID(D1031,1,3)="のり面",IF(1*MID(D1028,4,1)=5,_xlfn.IFS(1*MID(LEFT(D1028, LEN(D1028)-1),6,2)&lt;5,"ST140",1*MID(LEFT(D1028, LEN(D1028)-1),6,2)&lt;8,"ST170",1*MID(LEFT(D1028, LEN(D1028)-1),6,2)&lt;13,"ST220"),_xlfn.IFS(1*MID(LEFT(D1028, LEN(D1028)-1),6,2)&lt;4,"ST140",1*MID(LEFT(D1028, LEN(D1028)-1),6,2)&lt;5,"ST170",1*MID(LEFT(D1028, LEN(D1028)-1),6,2)&lt;8,"ST220",1*MID(LEFT(D1028, LEN(D1028)-1),6,2)&lt;15,"非該当"))&amp;"、FCD450相当、防食："&amp;_xlfn.IFS(MID(D1029,1,3)="防食Ⅱ","HDZT77めっき",MID(D1029,5,2)="塩害","ｱﾙﾐﾅｲｽﾞ処理",MID(D1029,5,2)="酸性","重防食処理"),OR(MID(D1031,1,3)="構造物",MID(D1031,1,3)="土留め"),D1028&amp;"用"&amp;IF(OR(MID(D1031,1,3)="構造物",D1032="　"),"",D1032)&amp;"、防食："&amp;_xlfn.IFS(MID(D1029,1,3)="防食Ⅱ","HDZT77めっき",MID(D1029,5,2)="塩害","ｱﾙﾐﾅｲｽﾞ処理",MID(D1029,5,2)="酸性","重防食処理")))</f>
        <v>ST140、FCD450相当、防食：HDZT77めっき</v>
      </c>
      <c r="D1063" s="208"/>
      <c r="E1063" s="209"/>
      <c r="F1063" s="217" t="str">
        <f>IF(OR(D1031="なし",D1031="受圧体のみ"),"","n=1")</f>
        <v>n=1</v>
      </c>
      <c r="G1063" s="218"/>
      <c r="H1063" s="219"/>
      <c r="I1063" s="213" t="str">
        <f>IF(OR(D1027=0,D1028="　",B1063=""),"","台")</f>
        <v>台</v>
      </c>
      <c r="J1063" s="220" t="str">
        <f>IF(OR(D1027=0,D1028="　"),"",MID(F1063,3,2))</f>
        <v>1</v>
      </c>
      <c r="K1063" s="214">
        <f>IFERROR(D1027*J1063,"")</f>
        <v>10</v>
      </c>
    </row>
    <row r="1064" spans="2:11" ht="12" customHeight="1">
      <c r="B1064" s="206" t="str">
        <f>IF(OR(D1027=0,D1028="　",MID(D1031,1,3)&lt;&gt;"のり面"),"","補剛板")</f>
        <v>補剛板</v>
      </c>
      <c r="C1064" s="210" t="str" cm="1">
        <f t="array" ref="C1064">IF(OR(D1027=0,D1028="　",MID(D1031,1,3)&lt;&gt;"のり面"),"",IF(MID(D1028,4,1)="5","□"&amp;_xlfn.SWITCH(1*MID(LEFT(D1028, LEN(D1028)-1),6,2),1,"210φ131t12",2,"210φ131t12",3,"240φ131t12",4,"270φ131t12",5,"280φ143t12",6,"310φ143t16",7,"350φ143t19",8,"350φ180t19",9,"350φ180t19",10,"350φ180t19",11,"350φ180t22",12,"350φ180t22"),"□"&amp;_xlfn.SWITCH(1*MID(LEFT(D1028, LEN(D1028)-1),6,2),1,"210,φ131,t12",2,"240,φ131,t12",3,"270,φ131,t16",4,"300,φ143,t16",5,"350,φ180,t16",6,"350,φ180,t16",7,"350,φ180,t19",8,"400,φ──,t12",9,"400,φ──,t12",10,"400,φ──,t12",11,"400,φ──,t12",12,"400,φ──,t12",13,"400,φ──,t12",14,"400,φ──,t12"))&amp;"、SS400相当、防食："&amp;_xlfn.IFS(MID(D1029,1,3)="防食Ⅱ","HDZT77めっき",MID(D1029,5,2)="塩害","ｱﾙﾐﾅｲｽﾞ処理",MID(D1029,5,2)="酸性","重防食処理"))</f>
        <v>□270φ131t12、SS400相当、防食：HDZT77めっき</v>
      </c>
      <c r="D1064" s="208"/>
      <c r="E1064" s="209"/>
      <c r="F1064" s="217" t="str">
        <f>IF(OR(D1027=0,D1028="　",MID(D1031,1,3)&lt;&gt;"のり面"),"","n=1")</f>
        <v>n=1</v>
      </c>
      <c r="G1064" s="218"/>
      <c r="H1064" s="219"/>
      <c r="I1064" s="213" t="str">
        <f>IF(OR(D1027=0,D1028="　",B1064="",MID(D1031,1,3)&lt;&gt;"のり面"),"","枚")</f>
        <v>枚</v>
      </c>
      <c r="J1064" s="220" t="str">
        <f>IF(OR(D1027=0,D1028="　"),"",MID(F1064,3,2))</f>
        <v>1</v>
      </c>
      <c r="K1064" s="214">
        <f>IFERROR(D1027*J1064,"")</f>
        <v>10</v>
      </c>
    </row>
    <row r="1065" spans="2:11" ht="12" customHeight="1">
      <c r="B1065" s="206" t="str" cm="1">
        <f t="array" ref="B1065">_xlfn.IFS(OR(D1027=0,D1028="　"),"",MID(D1030,1,3)="アルミ","",MID(D1030,1,3)&lt;&gt;"アルミ","テンドン補修用塗料")</f>
        <v>テンドン補修用塗料</v>
      </c>
      <c r="C1065" s="210" t="str" cm="1">
        <f t="array" ref="C1065">_xlfn.IFS(OR(D1027=0,D1028="　"),"",MID(D1030,1,3)="アルミ","",MID(D1030,1,3)&lt;&gt;"アルミ","エポキシ樹脂")</f>
        <v>エポキシ樹脂</v>
      </c>
      <c r="D1065" s="208"/>
      <c r="E1065" s="209"/>
      <c r="F1065" s="217" t="str" cm="1">
        <f t="array" ref="F1065">_xlfn.IFS(OR(D1027=0,D1028="　"),"",MID(D1030,1,3)="アルミ","",MID(D1030,1,3)&lt;&gt;"アルミ","W=PC鋼より線本数×"&amp;IF(MID(D1028,4,1)="5","0.28","0.40"))</f>
        <v>W=PC鋼より線本数×0.28</v>
      </c>
      <c r="G1065" s="218"/>
      <c r="H1065" s="219"/>
      <c r="I1065" s="213" t="str" cm="1">
        <f t="array" ref="I1065">_xlfn.IFS(OR(D1027=0,D1028="　"),"",MID(D1030,1,3)="アルミ","",MID(D1030,1,3)&lt;&gt;"アルミ","g")</f>
        <v>g</v>
      </c>
      <c r="J1065" s="224" cm="1">
        <f t="array" ref="J1065">_xlfn.IFS(OR(D1027=0,D1028="　"),"",MID(D1030,1,3)="アルミ","",MID(D1030,1,3)&lt;&gt;"アルミ",MID(LEFT(D1028, LEN(D1028)-1),6,2)*IF(MID(D1028,4,1)="5",0.28,0.4))</f>
        <v>1.1200000000000001</v>
      </c>
      <c r="K1065" s="214">
        <f>IFERROR(D1027*J1065,"")</f>
        <v>11.200000000000001</v>
      </c>
    </row>
    <row r="1066" spans="2:11" ht="12" customHeight="1">
      <c r="B1066" s="206" t="str" cm="1">
        <f t="array" ref="B1066">_xlfn.IFS(OR(D1027=0,D1028="　"),"",MID(D1030,1,3)="アルミ","",MID(D1030,1,3)&lt;&gt;"アルミ","長期防錆スプレー")</f>
        <v>長期防錆スプレー</v>
      </c>
      <c r="C1066" s="210" t="str" cm="1">
        <f t="array" ref="C1066">_xlfn.IFS(OR(D1027=0,D1028="　"),"",MID(D1030,1,3)="アルミ","",MID(D1030,1,3)&lt;&gt;"アルミ","防錆オイル")</f>
        <v>防錆オイル</v>
      </c>
      <c r="D1066" s="208"/>
      <c r="E1066" s="209"/>
      <c r="F1066" s="217" t="str" cm="1">
        <f t="array" ref="F1066">_xlfn.IFS(OR(D1027=0,D1028="　"),"",MID(D1030,1,3)="アルミ","",MID(D1030,1,3)&lt;&gt;"アルミ","n=0.01×(PC鋼より線本数+"&amp;IF(MID(D1028,4,1)="5","6","12")&amp;")")</f>
        <v>n=0.01×(PC鋼より線本数+6)</v>
      </c>
      <c r="G1066" s="218"/>
      <c r="H1066" s="219"/>
      <c r="I1066" s="213" t="str" cm="1">
        <f t="array" ref="I1066">_xlfn.IFS(OR(D1027=0,D1028="　"),"",MID(D1030,1,3)="アルミ","",MID(D1030,1,3)&lt;&gt;"アルミ","缶")</f>
        <v>缶</v>
      </c>
      <c r="J1066" s="224" cm="1">
        <f t="array" ref="J1066">_xlfn.IFS(OR(D1027=0,D1028="　"),"",MID(D1030,1,3)="アルミ","",MID(D1030,1,3)&lt;&gt;"アルミ",0.01*(MID(LEFT(D1028, LEN(D1028)-1),6,2)+IF(MID(D1028,4,1)="5",6,12)))</f>
        <v>0.1</v>
      </c>
      <c r="K1066" s="214">
        <f>IFERROR(D1027*J1066,"")</f>
        <v>1</v>
      </c>
    </row>
    <row r="1067" spans="2:11" ht="12" customHeight="1">
      <c r="B1067" s="206" t="str">
        <f>IF(OR(D1027=0,D1028="　",D1033="なし"),"","フリーパッカー注入ホース")</f>
        <v/>
      </c>
      <c r="C1067" s="207" t="str">
        <f>IF(OR(D1027=0,D1028="　",B1067=""),"","16/20、高密度ポリエチレン")</f>
        <v/>
      </c>
      <c r="D1067" s="208"/>
      <c r="E1067" s="209"/>
      <c r="F1067" s="210" t="str">
        <f>IF(B1067="","","L=自由長+緊張部長")</f>
        <v/>
      </c>
      <c r="G1067" s="211"/>
      <c r="H1067" s="212"/>
      <c r="I1067" s="213" t="str">
        <f>IF(OR(D1027=0,D1028="　",B1067=""),"","m")</f>
        <v/>
      </c>
      <c r="J1067" s="214" t="str">
        <f>IF(OR(D1027=0,D1028="　"),"",IF(B1067="","",MROUND(D1037+D1038,0.1)))</f>
        <v/>
      </c>
      <c r="K1067" s="214" t="str">
        <f>IFERROR(D1027*J1067,"")</f>
        <v/>
      </c>
    </row>
    <row r="1068" spans="2:11" ht="12" customHeight="1">
      <c r="B1068" s="225" t="str">
        <f>IF(OR(D1027=0,D1028="　",D1033="なし"),"","フリーパッカー")</f>
        <v/>
      </c>
      <c r="C1068" s="217" t="str" cm="1">
        <f t="array" ref="C1068">IF(OR(D1027=0,D1028="　",B1067=""),"",_xlfn.SWITCH(D1042,90,"PA-170",115,"PA-200",135,"PA-240",146,"PA-240",165,"PA-350")&amp;"、織布")</f>
        <v/>
      </c>
      <c r="D1068" s="208"/>
      <c r="E1068" s="209"/>
      <c r="F1068" s="226" t="str">
        <f>IF(B1068="","","L=自由長+0.5m")</f>
        <v/>
      </c>
      <c r="G1068" s="227"/>
      <c r="H1068" s="228"/>
      <c r="I1068" s="213" t="str">
        <f>IF(OR(D1028=0,D1029="　",B1068=""),"","m")</f>
        <v/>
      </c>
      <c r="J1068" s="214" t="str">
        <f>IF(OR(D1027=0,D1028="　"),"",IF(B1068="","",MROUND(D1037+0.5,0.1)))</f>
        <v/>
      </c>
      <c r="K1068" s="214" t="str">
        <f>IFERROR(D1027*J1068,"")</f>
        <v/>
      </c>
    </row>
    <row r="1069" spans="2:11" ht="12" customHeight="1">
      <c r="B1069" s="206" t="str">
        <f>IF(OR(D1027=0,D1028="　",D1033="なし"),"","パッカー取付加工")</f>
        <v/>
      </c>
      <c r="C1069" s="207"/>
      <c r="D1069" s="208"/>
      <c r="E1069" s="209"/>
      <c r="F1069" s="217" t="str">
        <f>IF(B1069="","","n=1")</f>
        <v/>
      </c>
      <c r="G1069" s="218"/>
      <c r="H1069" s="219"/>
      <c r="I1069" s="213" t="str">
        <f>IF(OR(D1029=0,D1030="　",B1069=""),"","式")</f>
        <v/>
      </c>
      <c r="J1069" s="220" t="str">
        <f>IF(OR(D1027=0,D1028="　"),"",MID(F1069,3,2))</f>
        <v/>
      </c>
      <c r="K1069" s="206" t="str">
        <f>IFERROR(D1027*J1069,"")</f>
        <v/>
      </c>
    </row>
    <row r="1070" spans="2:11" ht="12" customHeight="1">
      <c r="B1070" s="229"/>
      <c r="C1070" s="230"/>
      <c r="D1070" s="231"/>
      <c r="E1070" s="232"/>
      <c r="F1070" s="233"/>
      <c r="G1070" s="234"/>
      <c r="H1070" s="235"/>
      <c r="I1070" s="236"/>
      <c r="J1070" s="237"/>
      <c r="K1070" s="229"/>
    </row>
    <row r="1071" spans="2:11" ht="12" customHeight="1">
      <c r="B1071" s="238" t="s">
        <v>30</v>
      </c>
      <c r="C1071" s="239" t="s">
        <v>31</v>
      </c>
      <c r="D1071" s="240"/>
      <c r="E1071" s="241"/>
      <c r="F1071" s="242" t="s">
        <v>157</v>
      </c>
      <c r="G1071" s="243"/>
      <c r="H1071" s="244"/>
      <c r="I1071" s="245" t="s">
        <v>55</v>
      </c>
      <c r="J1071" s="246">
        <f>IFERROR(MROUND(0.25*PI()*(0.001*D1042)^2*(D1035+D1036+D1041)*(1+2.2),0.01),"")</f>
        <v>0.17</v>
      </c>
      <c r="K1071" s="246">
        <f>IFERROR(D1027*J1071,"")</f>
        <v>1.7000000000000002</v>
      </c>
    </row>
    <row r="1073" spans="2:11" ht="12" customHeight="1">
      <c r="B1073" s="247" t="s">
        <v>136</v>
      </c>
      <c r="C1073" s="247"/>
      <c r="D1073" s="247"/>
      <c r="F1073" s="163"/>
      <c r="G1073" s="164"/>
      <c r="H1073" s="164"/>
    </row>
    <row r="1074" spans="2:11" ht="12" customHeight="1">
      <c r="B1074" s="15" t="s">
        <v>111</v>
      </c>
      <c r="C1074" s="15"/>
      <c r="D1074" s="1"/>
      <c r="E1074" s="1"/>
      <c r="H1074" s="119"/>
      <c r="J1074" s="118"/>
    </row>
    <row r="1075" spans="2:11" ht="12" customHeight="1">
      <c r="B1075" s="165" t="s">
        <v>166</v>
      </c>
      <c r="C1075" s="3"/>
      <c r="D1075" s="1"/>
      <c r="E1075" s="1"/>
      <c r="F1075" s="8"/>
      <c r="G1075" s="8"/>
      <c r="H1075" s="102"/>
      <c r="I1075" s="28"/>
      <c r="J1075" s="118"/>
    </row>
    <row r="1076" spans="2:11" ht="12" customHeight="1">
      <c r="B1076" s="15" t="s">
        <v>40</v>
      </c>
      <c r="C1076" s="3"/>
      <c r="D1076" s="1"/>
      <c r="E1076" s="1"/>
      <c r="F1076" s="15" t="s">
        <v>54</v>
      </c>
      <c r="G1076" s="15"/>
      <c r="H1076" s="102"/>
      <c r="I1076" s="28"/>
    </row>
    <row r="1077" spans="2:11" ht="12" customHeight="1">
      <c r="B1077" s="2" t="s">
        <v>53</v>
      </c>
      <c r="C1077" s="2" t="s">
        <v>21</v>
      </c>
      <c r="D1077" s="2" t="s">
        <v>22</v>
      </c>
      <c r="E1077" s="17"/>
      <c r="F1077" s="49" t="s">
        <v>41</v>
      </c>
      <c r="G1077" s="97" t="s">
        <v>59</v>
      </c>
      <c r="H1077" s="49" t="s">
        <v>44</v>
      </c>
      <c r="I1077" s="2" t="s">
        <v>21</v>
      </c>
      <c r="J1077" s="49" t="s">
        <v>138</v>
      </c>
      <c r="K1077" s="2" t="s">
        <v>28</v>
      </c>
    </row>
    <row r="1078" spans="2:11" ht="12" customHeight="1">
      <c r="B1078" s="166" t="s">
        <v>25</v>
      </c>
      <c r="C1078" s="18" t="s">
        <v>24</v>
      </c>
      <c r="D1078" s="167">
        <v>10</v>
      </c>
      <c r="E1078" s="19"/>
      <c r="F1078" s="168" t="s">
        <v>43</v>
      </c>
      <c r="G1078" s="169" t="s">
        <v>113</v>
      </c>
      <c r="H1078" s="88" t="str" cm="1">
        <f t="array" ref="H1078">_xlfn.IFS(AND(F1078&lt;&gt;"非削孔",F1078&lt;&gt;"無設定"),D1093,F1078="非削孔",IF(MID(D1082,1,3)="土留め","非削孔","箱抜き"),F1078="無設定","無設定")</f>
        <v>箱抜き</v>
      </c>
      <c r="I1078" s="23" t="str">
        <f>IF(F1078="無設定","","m")</f>
        <v>m</v>
      </c>
      <c r="J1078" s="170">
        <v>0.5</v>
      </c>
      <c r="K1078" s="30">
        <f>D1078*J1078</f>
        <v>5</v>
      </c>
    </row>
    <row r="1079" spans="2:11" ht="12" customHeight="1">
      <c r="B1079" s="171" t="s">
        <v>37</v>
      </c>
      <c r="C1079" s="50" t="s">
        <v>38</v>
      </c>
      <c r="D1079" s="172" t="s">
        <v>159</v>
      </c>
      <c r="E1079" s="173"/>
      <c r="F1079" s="174" t="s">
        <v>49</v>
      </c>
      <c r="G1079" s="169" t="s">
        <v>114</v>
      </c>
      <c r="H1079" s="88" cm="1">
        <f t="array" ref="H1079">_xlfn.IFS(AND(F1079&lt;&gt;"非削孔",F1079&lt;&gt;"無設定"),D1093,F1079="非削孔","箱抜き",F1079="無設定","無設定")</f>
        <v>90</v>
      </c>
      <c r="I1079" s="23" t="str">
        <f t="shared" ref="I1079:I1087" si="42">IF(F1079="無設定","","m")</f>
        <v>m</v>
      </c>
      <c r="J1079" s="170">
        <v>2.64</v>
      </c>
      <c r="K1079" s="30">
        <f>D1078*J1079</f>
        <v>26.400000000000002</v>
      </c>
    </row>
    <row r="1080" spans="2:11" ht="12" customHeight="1">
      <c r="B1080" s="52" t="s">
        <v>39</v>
      </c>
      <c r="C1080" s="91" t="s">
        <v>38</v>
      </c>
      <c r="D1080" s="175" t="s">
        <v>60</v>
      </c>
      <c r="E1080" s="140"/>
      <c r="F1080" s="174" t="s">
        <v>49</v>
      </c>
      <c r="G1080" s="169" t="s">
        <v>115</v>
      </c>
      <c r="H1080" s="88" cm="1">
        <f t="array" ref="H1080">_xlfn.IFS(AND(F1080&lt;&gt;"非削孔",F1080&lt;&gt;"無設定"),D1093,F1080="非削孔","箱抜き",F1080="無設定","無設定")</f>
        <v>90</v>
      </c>
      <c r="I1080" s="23" t="str">
        <f t="shared" si="42"/>
        <v>m</v>
      </c>
      <c r="J1080" s="170">
        <v>5.36</v>
      </c>
      <c r="K1080" s="30">
        <f>D1078*J1080</f>
        <v>53.6</v>
      </c>
    </row>
    <row r="1081" spans="2:11" ht="12" customHeight="1">
      <c r="B1081" s="147" t="s">
        <v>140</v>
      </c>
      <c r="C1081" s="91" t="s">
        <v>38</v>
      </c>
      <c r="D1081" s="176" t="s">
        <v>141</v>
      </c>
      <c r="E1081" s="141"/>
      <c r="F1081" s="174" t="s">
        <v>48</v>
      </c>
      <c r="G1081" s="169"/>
      <c r="H1081" s="88" t="str" cm="1">
        <f t="array" ref="H1081">_xlfn.IFS(AND(F1081&lt;&gt;"非削孔",F1081&lt;&gt;"無設定"),D1093,F1081="非削孔","箱抜き",F1081="無設定","無設定")</f>
        <v>無設定</v>
      </c>
      <c r="I1081" s="23" t="str">
        <f t="shared" si="42"/>
        <v/>
      </c>
      <c r="J1081" s="170">
        <v>0</v>
      </c>
      <c r="K1081" s="30">
        <f>D1078*J1081</f>
        <v>0</v>
      </c>
    </row>
    <row r="1082" spans="2:11" ht="12" customHeight="1">
      <c r="B1082" s="147" t="s">
        <v>142</v>
      </c>
      <c r="C1082" s="91" t="s">
        <v>38</v>
      </c>
      <c r="D1082" s="177" t="s">
        <v>160</v>
      </c>
      <c r="E1082" s="21"/>
      <c r="F1082" s="174" t="s">
        <v>48</v>
      </c>
      <c r="G1082" s="169"/>
      <c r="H1082" s="88" t="str" cm="1">
        <f t="array" ref="H1082">_xlfn.IFS(AND(F1082&lt;&gt;"非削孔",F1082&lt;&gt;"無設定"),D1093,F1082="非削孔","箱抜き",F1082="無設定","無設定")</f>
        <v>無設定</v>
      </c>
      <c r="I1082" s="23" t="str">
        <f t="shared" si="42"/>
        <v/>
      </c>
      <c r="J1082" s="170">
        <v>0</v>
      </c>
      <c r="K1082" s="30">
        <f>D1078*J1082</f>
        <v>0</v>
      </c>
    </row>
    <row r="1083" spans="2:11" ht="12" customHeight="1">
      <c r="B1083" s="114" t="str">
        <f>IF(MID(D1082,1,3)="土留め",D1082&amp;"の種類","")</f>
        <v/>
      </c>
      <c r="C1083" s="91" t="s">
        <v>38</v>
      </c>
      <c r="D1083" s="178" t="s">
        <v>71</v>
      </c>
      <c r="E1083" s="21"/>
      <c r="F1083" s="174" t="s">
        <v>48</v>
      </c>
      <c r="G1083" s="169"/>
      <c r="H1083" s="88" t="str" cm="1">
        <f t="array" ref="H1083">_xlfn.IFS(AND(F1083&lt;&gt;"非削孔",F1083&lt;&gt;"無設定"),D1093,F1083="非削孔","箱抜き",F1083="無設定","無設定")</f>
        <v>無設定</v>
      </c>
      <c r="I1083" s="23" t="str">
        <f t="shared" si="42"/>
        <v/>
      </c>
      <c r="J1083" s="170">
        <v>0</v>
      </c>
      <c r="K1083" s="30">
        <f>D1078*J1083</f>
        <v>0</v>
      </c>
    </row>
    <row r="1084" spans="2:11" ht="12" customHeight="1">
      <c r="B1084" s="179" t="s">
        <v>50</v>
      </c>
      <c r="C1084" s="180" t="s">
        <v>38</v>
      </c>
      <c r="D1084" s="181" t="s">
        <v>51</v>
      </c>
      <c r="E1084" s="182"/>
      <c r="F1084" s="174" t="s">
        <v>48</v>
      </c>
      <c r="G1084" s="169"/>
      <c r="H1084" s="88" t="str" cm="1">
        <f t="array" ref="H1084">_xlfn.IFS(AND(F1084&lt;&gt;"非削孔",F1084&lt;&gt;"無設定"),D1093,F1084="非削孔","箱抜き",F1084="無設定","無設定")</f>
        <v>無設定</v>
      </c>
      <c r="I1084" s="23" t="str">
        <f t="shared" si="42"/>
        <v/>
      </c>
      <c r="J1084" s="170">
        <v>0</v>
      </c>
      <c r="K1084" s="30">
        <f>D1078*J1084</f>
        <v>0</v>
      </c>
    </row>
    <row r="1085" spans="2:11" ht="12" customHeight="1">
      <c r="B1085" s="160" t="str" cm="1">
        <f t="array" ref="B1085">"頭部自由長"&amp;_xlfn.IFS(MID(D1082,1,2)="なし","",MID(D1082,1,3)="受圧体","(受圧体)",MID(D1082,1,3)="のり面","(角度台座＋受圧体)",MID(D1082,1,3)="構造物","(壁面台座)",MID(D1082,1,3)="土留め","(台座+腹起し)")&amp;"　Lfh"</f>
        <v>頭部自由長(角度台座＋受圧体)　Lfh</v>
      </c>
      <c r="C1085" s="155" t="s">
        <v>23</v>
      </c>
      <c r="D1085" s="183">
        <v>0.5</v>
      </c>
      <c r="E1085" s="21"/>
      <c r="F1085" s="174" t="s">
        <v>144</v>
      </c>
      <c r="G1085" s="169"/>
      <c r="H1085" s="88" cm="1">
        <f t="array" ref="H1085">_xlfn.IFS(AND(F1085&lt;&gt;"非削孔",F1085&lt;&gt;"無設定"),D1093,F1085="非削孔","箱抜き",F1085="無設定","無設定")</f>
        <v>90</v>
      </c>
      <c r="I1085" s="23" t="str">
        <f t="shared" si="42"/>
        <v>m</v>
      </c>
      <c r="J1085" s="170">
        <v>0</v>
      </c>
      <c r="K1085" s="30">
        <f>D1078*J1085</f>
        <v>0</v>
      </c>
    </row>
    <row r="1086" spans="2:11" ht="12" customHeight="1">
      <c r="B1086" s="22" t="s">
        <v>108</v>
      </c>
      <c r="C1086" s="23" t="s">
        <v>23</v>
      </c>
      <c r="D1086" s="184">
        <v>4</v>
      </c>
      <c r="E1086" s="21"/>
      <c r="F1086" s="174" t="s">
        <v>48</v>
      </c>
      <c r="G1086" s="169"/>
      <c r="H1086" s="88" t="str" cm="1">
        <f t="array" ref="H1086">_xlfn.IFS(AND(F1086&lt;&gt;"非削孔",F1086&lt;&gt;"無設定"),D1093,F1086="非削孔","箱抜き",F1086="無設定","無設定")</f>
        <v>無設定</v>
      </c>
      <c r="I1086" s="23" t="str">
        <f t="shared" si="42"/>
        <v/>
      </c>
      <c r="J1086" s="170">
        <v>0</v>
      </c>
      <c r="K1086" s="30">
        <f>D1078*J1086</f>
        <v>0</v>
      </c>
    </row>
    <row r="1087" spans="2:11" ht="12" customHeight="1">
      <c r="B1087" s="157" t="s">
        <v>36</v>
      </c>
      <c r="C1087" s="158" t="s">
        <v>23</v>
      </c>
      <c r="D1087" s="185">
        <v>4</v>
      </c>
      <c r="F1087" s="186" t="str" cm="1">
        <f t="array" ref="F1087">INDEX(F1078:H1086,MATCH("無設定",F1078:F1086,0)-1,MATCH(F1077,F1077:H1077,0))</f>
        <v>軟　岩</v>
      </c>
      <c r="G1087" s="100" t="str" cm="1">
        <f t="array" ref="G1087">INDEX(F1078:H1086,MATCH("無設定",F1078:F1086,0)-1,MATCH(G1077,F1077:H1077,0))&amp;"　(先端長 L2d)"</f>
        <v>風化岩 CL　(先端長 L2d)</v>
      </c>
      <c r="H1087" s="88" cm="1">
        <f t="array" ref="H1087">INDEX(F1078:H1086,MATCH("無設定",F1078:F1086,0)-1,MATCH(H1077,F1077:H1077,0))</f>
        <v>90</v>
      </c>
      <c r="I1087" s="23" t="str">
        <f t="shared" si="42"/>
        <v>m</v>
      </c>
      <c r="J1087" s="98">
        <f>D1092</f>
        <v>0.25</v>
      </c>
      <c r="K1087" s="78">
        <f>IFERROR(D1078*J1087,"")</f>
        <v>2.5</v>
      </c>
    </row>
    <row r="1088" spans="2:11" ht="12" customHeight="1">
      <c r="B1088" s="154" t="s">
        <v>145</v>
      </c>
      <c r="C1088" s="155" t="s">
        <v>23</v>
      </c>
      <c r="D1088" s="187">
        <f>IF(OR(D1078=0,D1079="　"),"──",SUM(D1085:D1086))</f>
        <v>4.5</v>
      </c>
      <c r="E1088" s="19"/>
      <c r="F1088" s="188"/>
      <c r="G1088" s="75" t="s">
        <v>124</v>
      </c>
      <c r="H1088" s="103"/>
      <c r="I1088" s="18" t="s">
        <v>23</v>
      </c>
      <c r="J1088" s="74">
        <f>SUMIFS(J1078:J1087,F1078:F1087,"&lt;&gt;非削孔",F1078:F1087,"&lt;&gt;無設定")</f>
        <v>8.25</v>
      </c>
      <c r="K1088" s="95">
        <f>SUMIFS(K1078:K1087,F1078:F1087,"&lt;&gt;非削孔",F1078:F1087,"&lt;&gt;無設定")</f>
        <v>82.5</v>
      </c>
    </row>
    <row r="1089" spans="2:11" ht="12" customHeight="1">
      <c r="B1089" s="146" t="s">
        <v>146</v>
      </c>
      <c r="C1089" s="23" t="s">
        <v>23</v>
      </c>
      <c r="D1089" s="189" cm="1">
        <f t="array" ref="D1089">IF(OR(D1078=0,D1079="　"),"──",IF(MID(D1079,4,1)="5",_xlfn.IFS(1*MID(LEFT(D1079, LEN(D1079)-1),6,2)&lt;8,1,1*MID(LEFT(D1079, LEN(D1079)-1),6,2)&lt;13,1.2),_xlfn.IFS(1*MID(LEFT(D1079, LEN(D1079)-1),6,2)&lt;6,1,1*MID(LEFT(D1079, LEN(D1079)-1),6,2)&lt;15,1.2)))</f>
        <v>1</v>
      </c>
      <c r="E1089" s="19"/>
      <c r="F1089" s="190"/>
      <c r="G1089" s="76" t="s">
        <v>47</v>
      </c>
      <c r="H1089" s="104"/>
      <c r="I1089" s="79" t="s">
        <v>46</v>
      </c>
      <c r="J1089" s="77" t="str">
        <f>IF(OR(D1078=0,D1079="　"),"",IF(SUM(D1086:D1087,D1092)=J1088,"OK","NG"))</f>
        <v>OK</v>
      </c>
      <c r="K1089" s="145" t="str">
        <f>IF(J1089&lt;&gt;"NG","──",J1088-SUM(D1086:D1087,D1092))</f>
        <v>──</v>
      </c>
    </row>
    <row r="1090" spans="2:11" ht="12" customHeight="1">
      <c r="B1090" s="22" t="s">
        <v>125</v>
      </c>
      <c r="C1090" s="23" t="s">
        <v>35</v>
      </c>
      <c r="D1090" s="84">
        <f>IF(OR(D1078=0,D1079="　"),"──",0.2)</f>
        <v>0.2</v>
      </c>
      <c r="F1090" s="191" t="s">
        <v>58</v>
      </c>
      <c r="G1090" s="248" t="s">
        <v>110</v>
      </c>
      <c r="H1090" s="249"/>
      <c r="I1090" s="249"/>
      <c r="J1090" s="249"/>
      <c r="K1090" s="250"/>
    </row>
    <row r="1091" spans="2:11" ht="12" customHeight="1">
      <c r="B1091" s="6" t="s">
        <v>147</v>
      </c>
      <c r="C1091" s="23" t="s">
        <v>23</v>
      </c>
      <c r="D1091" s="60">
        <f>IF(OR(D1078=0,D1079="　"),"──",SUM(D1087:D1090))</f>
        <v>9.6999999999999993</v>
      </c>
    </row>
    <row r="1092" spans="2:11" ht="12" customHeight="1">
      <c r="B1092" s="25" t="s">
        <v>127</v>
      </c>
      <c r="C1092" s="26" t="s">
        <v>23</v>
      </c>
      <c r="D1092" s="27">
        <f>IF(OR(D1078=0,D1079="　"),"──",0.25)</f>
        <v>0.25</v>
      </c>
      <c r="F1092" s="8"/>
      <c r="G1092" s="8"/>
      <c r="H1092" s="102"/>
    </row>
    <row r="1093" spans="2:11" ht="12" customHeight="1">
      <c r="B1093" s="95" t="s">
        <v>123</v>
      </c>
      <c r="C1093" s="18" t="s">
        <v>32</v>
      </c>
      <c r="D1093" s="192">
        <v>90</v>
      </c>
      <c r="E1093" s="193" t="str">
        <f>IF(D1093&lt;D1094,"NG：削孔径不適合","")</f>
        <v/>
      </c>
      <c r="F1093" s="8"/>
      <c r="G1093" s="8"/>
      <c r="H1093" s="102"/>
    </row>
    <row r="1094" spans="2:11" ht="12" customHeight="1">
      <c r="B1094" s="25" t="s">
        <v>122</v>
      </c>
      <c r="C1094" s="26" t="s">
        <v>32</v>
      </c>
      <c r="D1094" s="194" cm="1">
        <f t="array" ref="D1094">IF(OR(D1078=0,D1079="　"),"──",IF(D1084="なし",IF(MID(D1079,4,1)="5",_xlfn.IFS(1*MID(LEFT(D1079, LEN(D1079)-1),6,2)&lt;6,90,1*MID(LEFT(D1079, LEN(D1079)-1),6,2)&lt;9,115,1*MID(LEFT(D1079, LEN(D1079)-1),6,2)&gt;8,135),_xlfn.IFS(1*MID(LEFT(D1079, LEN(D1079)-1),6,2)&lt;4,90,1*MID(LEFT(D1079, LEN(D1079)-1),6,2)&lt;7,115,1*MID(LEFT(D1079, LEN(D1079)-1),6,2)&lt;10,135,1*MID(LEFT(D1079, LEN(D1079)-1),6,2)&lt;13,146,1*MID(LEFT(D1079, LEN(D1079)-1),6,2)&gt;12,165)),IF(MID(D1079,4,1)="5",_xlfn.IFS(1*MID(LEFT(D1079, LEN(D1079)-1),6,2)&lt;3,90,1*MID(LEFT(D1079, LEN(D1079)-1),6,2)&lt;7,115,1*MID(LEFT(D1079, LEN(D1079)-1),6,2)&lt;9,135,1*MID(LEFT(D1079, LEN(D1079)-1),6,2)&gt;8,146),_xlfn.IFS(1*MID(LEFT(D1079, LEN(D1079)-1),6,2)&lt;3,90,1*MID(LEFT(D1079, LEN(D1079)-1),6,2)&lt;4,115,1*MID(LEFT(D1079, LEN(D1079)-1),6,2)&lt;6,135,1*MID(LEFT(D1079, LEN(D1079)-1),6,2)&lt;10,146,1*MID(LEFT(D1079, LEN(D1079)-1),6,2)&lt;13,165,1*MID(LEFT(D1079, LEN(D1079)-1),6,2)&gt;12,216))))</f>
        <v>90</v>
      </c>
      <c r="E1094" s="195"/>
      <c r="F1094" s="8"/>
      <c r="G1094" s="8"/>
      <c r="H1094" s="102"/>
    </row>
    <row r="1095" spans="2:11" ht="12" customHeight="1">
      <c r="B1095" s="20"/>
      <c r="C1095" s="46"/>
      <c r="D1095" s="117"/>
      <c r="F1095" s="8"/>
      <c r="G1095" s="8"/>
      <c r="H1095" s="102"/>
    </row>
    <row r="1096" spans="2:11" ht="12" customHeight="1">
      <c r="B1096" s="15" t="str">
        <f>"■"&amp;MID(B1073,2,14)</f>
        <v>■本設：EHDアンカーHP工法</v>
      </c>
      <c r="C1096" s="3"/>
      <c r="D1096" s="1"/>
      <c r="E1096" s="1"/>
      <c r="F1096" s="8"/>
      <c r="G1096" s="8"/>
      <c r="H1096" s="102"/>
    </row>
    <row r="1097" spans="2:11" ht="12" customHeight="1">
      <c r="B1097" s="2" t="s">
        <v>17</v>
      </c>
      <c r="C1097" s="43"/>
      <c r="D1097" s="196" t="s">
        <v>148</v>
      </c>
      <c r="E1097" s="135"/>
      <c r="F1097" s="16"/>
      <c r="G1097" s="61" t="s">
        <v>42</v>
      </c>
      <c r="H1097" s="97"/>
      <c r="I1097" s="2" t="s">
        <v>21</v>
      </c>
      <c r="J1097" s="49" t="s">
        <v>149</v>
      </c>
      <c r="K1097" s="2" t="s">
        <v>28</v>
      </c>
    </row>
    <row r="1098" spans="2:11" ht="12" customHeight="1">
      <c r="B1098" s="197" t="s">
        <v>150</v>
      </c>
      <c r="C1098" s="198" t="str">
        <f>IF(OR(D1078=0,D1079="　"),"",D1079&amp;" ("&amp;MID(LEFT(D1079, LEN(D1079)-1),6,2)&amp;IF(MID(D1079,4,1)="5","φ12.7","φ15.2")&amp;")")</f>
        <v>EHD5-4H (4φ12.7)</v>
      </c>
      <c r="D1098" s="199"/>
      <c r="E1098" s="200"/>
      <c r="F1098" s="201" t="str">
        <f>"W=テンドン長×PC鋼より線本数×"&amp;IF(MID(D1079,4,1)="5","0.774","1.101")&amp;"kg/m"</f>
        <v>W=テンドン長×PC鋼より線本数×0.774kg/m</v>
      </c>
      <c r="G1098" s="202"/>
      <c r="H1098" s="203"/>
      <c r="I1098" s="204" t="s">
        <v>11</v>
      </c>
      <c r="J1098" s="205">
        <f>IF(OR(D1078=0,D1079="　"),"",MROUND(D1091*MID(LEFT(D1079, LEN(D1079)-1),6,2)*IF(MID(D1079,4,1)="5","0.774","1.101"),0.01))</f>
        <v>30.03</v>
      </c>
      <c r="K1098" s="205">
        <f>IFERROR(D1078*J1098,"")</f>
        <v>300.3</v>
      </c>
    </row>
    <row r="1099" spans="2:11" ht="12" customHeight="1">
      <c r="B1099" s="206" t="s">
        <v>151</v>
      </c>
      <c r="C1099" s="207"/>
      <c r="D1099" s="208"/>
      <c r="E1099" s="209"/>
      <c r="F1099" s="210" t="s">
        <v>33</v>
      </c>
      <c r="G1099" s="211"/>
      <c r="H1099" s="212"/>
      <c r="I1099" s="213" t="s">
        <v>12</v>
      </c>
      <c r="J1099" s="214">
        <f>IF(OR(D1078=0,D1079="　"),"",MROUND(D1091,0.1))</f>
        <v>9.7000000000000011</v>
      </c>
      <c r="K1099" s="214">
        <f>IFERROR(D1078*J1099,"")</f>
        <v>97.000000000000014</v>
      </c>
    </row>
    <row r="1100" spans="2:11" ht="12" customHeight="1">
      <c r="B1100" s="206" t="str">
        <f>"頭部キャップ"</f>
        <v>頭部キャップ</v>
      </c>
      <c r="C1100" s="207" t="str" cm="1">
        <f t="array" ref="C1100">IF(OR(D1078=0,D1079="　"),"",IF(MID(D1079,4,1)="5",_xlfn.SWITCH(1*MID(LEFT(D1079, LEN(D1079)-1),6,2),1,"S",2,"S",3,"S",4,"S",5,"M",6,"M",7,"M",8,"L",9,"L",10,"L",11,"L",12,"L"),_xlfn.SWITCH(1*MID(LEFT(D1079, LEN(D1079)-1),6,2),1,"S",2,"S",3,"M",4,"M",5,"L",6,"L",7,"L",8,"LL",9,"LL",10,"LL",11,"LL",12,"LL",13,"LL",14,"LL"))&amp;"型"&amp;D1081&amp;IF(OR(MID(D1081,1,2)="透明",MID(D1081,1,2)="5窓"),"、PC樹脂","")&amp;"、ｱﾙﾐAC4C相当"&amp;_xlfn.IFS(MID(D1080,1,3)="防食Ⅱ","",MID(D1080,5,2)="塩害","、防食：ﾀｹｺｰﾄ処理",MID(D1080,5,2)="酸性","、防食：重防食処理"))</f>
        <v>S型透明キャップ、PC樹脂、ｱﾙﾐAC4C相当</v>
      </c>
      <c r="D1100" s="215"/>
      <c r="E1100" s="216"/>
      <c r="F1100" s="217" t="str">
        <f t="shared" ref="F1100:F1106" si="43">"n=1"</f>
        <v>n=1</v>
      </c>
      <c r="G1100" s="218"/>
      <c r="H1100" s="219"/>
      <c r="I1100" s="213" t="s">
        <v>13</v>
      </c>
      <c r="J1100" s="220" t="str">
        <f>IF(OR(D1078=0,D1079="　"),"",MID(F1100,3,2))</f>
        <v>1</v>
      </c>
      <c r="K1100" s="214">
        <f>IFERROR(D1078*J1100,"")</f>
        <v>10</v>
      </c>
    </row>
    <row r="1101" spans="2:11" ht="12" customHeight="1">
      <c r="B1101" s="206" t="s">
        <v>5</v>
      </c>
      <c r="C1101" s="207" t="str" cm="1">
        <f t="array" ref="C1101">IF(OR(D1078=0,D1079="　"),"",IF(MID(D1079,4,1)="5","G5"&amp;_xlfn.SWITCH(1*MID(LEFT(D1079, LEN(D1079)-1),6,2),1,"01",2,"02",3,"03",4,"04",5,"07",6,"07",7,"07",8,"09",9,"09",10,"12",11,"12",12,"12"),"G6"&amp;_xlfn.SWITCH(1*MID(LEFT(D1079, LEN(D1079)-1),6,2),1,"01",2,"02",3,"03",4,"04",5,"07",6,"07",7,"07",8,"09",9,"09",10,"12",11,"12",12,"12",13,"14",14,"14"))&amp;"、S45C相当"&amp;IF(MID(D1081,1,3)&lt;&gt;"アルミ","、防食：無電解Niめっき",""))</f>
        <v>G504、S45C相当、防食：無電解Niめっき</v>
      </c>
      <c r="D1101" s="208"/>
      <c r="E1101" s="209"/>
      <c r="F1101" s="217" t="str">
        <f t="shared" si="43"/>
        <v>n=1</v>
      </c>
      <c r="G1101" s="218"/>
      <c r="H1101" s="219"/>
      <c r="I1101" s="213" t="s">
        <v>13</v>
      </c>
      <c r="J1101" s="220" t="str">
        <f>IF(OR(D1078=0,D1079="　"),"",MID(F1101,3,2))</f>
        <v>1</v>
      </c>
      <c r="K1101" s="214">
        <f>IFERROR(D1078*J1101,"")</f>
        <v>10</v>
      </c>
    </row>
    <row r="1102" spans="2:11" ht="12" customHeight="1">
      <c r="B1102" s="206" t="s">
        <v>152</v>
      </c>
      <c r="C1102" s="207" t="str" cm="1">
        <f t="array" ref="C1102">IF(OR(D1078=0,D1079="　"),"",IF(MID(D1079,4,1)="5","G5"&amp;_xlfn.SWITCH(1*MID(LEFT(D1079, LEN(D1079)-1),6,2),1,"01",2,"02",3,"03",4,"04",5,"07",6,"07",7,"07",8,"09",9,"09",10,"12",11,"12",12,"12"),"G6"&amp;_xlfn.SWITCH(1*MID(LEFT(D1079, LEN(D1079)-1),6,2),1,"01",2,"02",3,"03",4,"04",5,"07",6,"07",7,"07",8,"09",9,"09",10,"12",11,"12",12,"12",13,"14",14,"14"))&amp;"、S45C相当"&amp;IF(MID(D1081,1,3)&lt;&gt;"アルミ","、防食：無電解Niめっき",""))</f>
        <v>G504、S45C相当、防食：無電解Niめっき</v>
      </c>
      <c r="D1102" s="208"/>
      <c r="E1102" s="209"/>
      <c r="F1102" s="217" t="str">
        <f t="shared" si="43"/>
        <v>n=1</v>
      </c>
      <c r="G1102" s="218"/>
      <c r="H1102" s="219"/>
      <c r="I1102" s="213" t="s">
        <v>13</v>
      </c>
      <c r="J1102" s="220" t="str">
        <f>IF(OR(D1078=0,D1079="　"),"",MID(F1102,3,2))</f>
        <v>1</v>
      </c>
      <c r="K1102" s="214">
        <f>IFERROR(D1078*J1102,"")</f>
        <v>10</v>
      </c>
    </row>
    <row r="1103" spans="2:11" ht="12" customHeight="1">
      <c r="B1103" s="206" t="s">
        <v>7</v>
      </c>
      <c r="C1103" s="207" t="str">
        <f>IF(OR(D1078=0,D1079="　"),"",IF(1*MID(D1079,4,1)=5,"ECF12.7","ECF15.2")&amp;"、SCM415相当"&amp;IF(MID(D1081,1,3)&lt;&gt;"アルミ","、防食：無電解Niめっき",""))</f>
        <v>ECF12.7、SCM415相当、防食：無電解Niめっき</v>
      </c>
      <c r="D1103" s="208"/>
      <c r="E1103" s="209"/>
      <c r="F1103" s="217" t="str">
        <f t="shared" si="43"/>
        <v>n=1</v>
      </c>
      <c r="G1103" s="218"/>
      <c r="H1103" s="219"/>
      <c r="I1103" s="213" t="s">
        <v>27</v>
      </c>
      <c r="J1103" s="220" t="str">
        <f>IF(OR(D1078=0,D1079="　"),"",MID(F1103,3,2))</f>
        <v>1</v>
      </c>
      <c r="K1103" s="214">
        <f>IFERROR(D1078*J1103,"")</f>
        <v>10</v>
      </c>
    </row>
    <row r="1104" spans="2:11" ht="12" customHeight="1">
      <c r="B1104" s="206" t="s">
        <v>153</v>
      </c>
      <c r="C1104" s="207" t="str" cm="1">
        <f t="array" ref="C1104">IF(OR(D1078=0,D1079="　"),"",IF(MID(D1079,4,1)="5","G5"&amp;_xlfn.SWITCH(1*MID(LEFT(D1079, LEN(D1079)-1),6,2),1,"01",2,"04",3,"03",4,"04",5,"07",6,"07",7,"07",8,"12",9,"12",10,"12",11,"12",12,"12"),"G6"&amp;_xlfn.SWITCH(1*MID(LEFT(D1079, LEN(D1079)-1),6,2),1,"01",2,"02",3,"03",4,"04",5,"07",6,"07",7,"07",8,"12",9,"12",10,"12",11,"12",12,"12",13,"14",14,"14"))&amp;"、SS400相当、防食："&amp;_xlfn.IFS(MID(D1080,1,3)="防食Ⅱ","HDZT77めっき",MID(D1080,5,2)="塩害","ｱﾙﾐﾅｲｽﾞ処理",MID(D1080,5,2)="酸性","重防食処理"))</f>
        <v>G504、SS400相当、防食：HDZT77めっき</v>
      </c>
      <c r="D1104" s="208"/>
      <c r="E1104" s="209"/>
      <c r="F1104" s="217" t="str">
        <f t="shared" si="43"/>
        <v>n=1</v>
      </c>
      <c r="G1104" s="218"/>
      <c r="H1104" s="219"/>
      <c r="I1104" s="213" t="s">
        <v>16</v>
      </c>
      <c r="J1104" s="220" t="str">
        <f>IF(OR(D1078=0,D1079="　"),"",MID(F1104,3,2))</f>
        <v>1</v>
      </c>
      <c r="K1104" s="214">
        <f>IFERROR(D1078*J1104,"")</f>
        <v>10</v>
      </c>
    </row>
    <row r="1105" spans="2:11" ht="12" customHeight="1">
      <c r="B1105" s="206" t="str">
        <f>IF(MID(D1082,1,3)="のり面","管付","")&amp;"支圧板"</f>
        <v>管付支圧板</v>
      </c>
      <c r="C1105" s="221" t="str" cm="1">
        <f t="array" ref="C1105">IF(OR(D1078=0,D1079="　"),"","PL"&amp;IF(MID(D1082,1,3)="のり面","P","")&amp;IF(MID(D1079,4,1)="5","5-"&amp;_xlfn.SWITCH(1*MID(LEFT(D1079, LEN(D1079)-1),6,2),1,"1",2,"2",3,"3",4,"4",5,"5",6,"6",7,"7",8,"9",9,"9",10,"10",11,"11",12,"12"),"6-"&amp;_xlfn.SWITCH(1*MID(LEFT(D1079, LEN(D1079)-1),6,2),1,"1",2,"2",3,"3",4,"4",5,"6",6,"6",7,"7",8,"8",9,"9",10,"10",11,"11",12,"12",13,"14",14,"14"))&amp;"、SS400相当、防食："&amp;_xlfn.IFS(MID(D1080,1,3)="防食Ⅱ","HDZT77めっき",MID(D1080,5,2)="塩害","ｱﾙﾐﾅｲｽﾞ処理",MID(D1080,5,2)="酸性","重防食処理"))</f>
        <v>PLP5-4、SS400相当、防食：HDZT77めっき</v>
      </c>
      <c r="D1105" s="208"/>
      <c r="E1105" s="209"/>
      <c r="F1105" s="217" t="str">
        <f t="shared" si="43"/>
        <v>n=1</v>
      </c>
      <c r="G1105" s="218"/>
      <c r="H1105" s="219"/>
      <c r="I1105" s="213" t="s">
        <v>16</v>
      </c>
      <c r="J1105" s="220" t="str">
        <f>IF(OR(D1078=0,D1079="　"),"",MID(F1105,3,2))</f>
        <v>1</v>
      </c>
      <c r="K1105" s="214">
        <f>IFERROR(D1078*J1105,"")</f>
        <v>10</v>
      </c>
    </row>
    <row r="1106" spans="2:11" ht="12" customHeight="1">
      <c r="B1106" s="206" t="s">
        <v>154</v>
      </c>
      <c r="C1106" s="207" t="str">
        <f>IF(OR(D1078=0,D1079="　"),"","G"&amp;MID(LEFT(D1079, LEN(D1079)-1),4,4)&amp;"、NBR45相当")</f>
        <v>G5-4、NBR45相当</v>
      </c>
      <c r="D1106" s="208"/>
      <c r="E1106" s="209"/>
      <c r="F1106" s="217" t="str">
        <f t="shared" si="43"/>
        <v>n=1</v>
      </c>
      <c r="G1106" s="218"/>
      <c r="H1106" s="219"/>
      <c r="I1106" s="213" t="s">
        <v>13</v>
      </c>
      <c r="J1106" s="220" t="str">
        <f>IF(OR(D1078=0,D1079="　"),"",MID(F1106,3,2))</f>
        <v>1</v>
      </c>
      <c r="K1106" s="214">
        <f>IFERROR(D1078*J1106,"")</f>
        <v>10</v>
      </c>
    </row>
    <row r="1107" spans="2:11" ht="12" customHeight="1">
      <c r="B1107" s="206" t="str" cm="1">
        <f t="array" ref="B1107">_xlfn.IFS(OR(D1078=0,D1079="　"),"",MID(D1081,1,3)="アルミ","頭部防錆油",MID(D1081,1,3)&lt;&gt;"アルミ","余長キャップ")</f>
        <v>余長キャップ</v>
      </c>
      <c r="C1107" s="221" t="str" cm="1">
        <f t="array" ref="C1107">_xlfn.IFS(OR(D1078=0,D1079="　"),"",MID(D1081,1,3)="アルミ","PCコートC",MID(D1081,1,3)&lt;&gt;"アルミ","TC"&amp;MID(D1079,4,1)&amp;"、高密度ポチエチレン")</f>
        <v>TC5、高密度ポチエチレン</v>
      </c>
      <c r="D1107" s="208"/>
      <c r="E1107" s="209"/>
      <c r="F1107" s="217" t="str" cm="1">
        <f t="array" ref="F1107">_xlfn.IFS(OR(D1078=0,D1079="　"),"",MID(D1081,1,3)="アルミ","W="&amp;IF(MID(D1079,4,1)="5",_xlfn.SWITCH(1*MID(LEFT(D1079, LEN(D1079)-1),6,2),1,1.9,2,1.3,3,1.3,4,1.3,5,1.6,6,1.6,7,1.6,8,3.1,9,3.1,10,3.1,11,3.1,12,3.1),"G6"&amp;_xlfn.SWITCH(1*MID(LEFT(D1079, LEN(D1079)-1),6,2),1,1.8,2,1.3,3,1.8,4,1.8,5,3.3,6,3.3,7,3.3,8,9.9,9,9.9,10,9.9,11,9.9,12,9.9,13,9.9,14,9.9)),MID(D1081,1,3)&lt;&gt;"アルミ","n=1")</f>
        <v>n=1</v>
      </c>
      <c r="G1107" s="218"/>
      <c r="H1107" s="219"/>
      <c r="I1107" s="213" t="str" cm="1">
        <f t="array" ref="I1107">_xlfn.IFS(OR(D1078=0,D1079="　"),"",MID(D1081,1,3)="アルミ","kg",MID(D1081,1,3)&lt;&gt;"アルミ","式")</f>
        <v>式</v>
      </c>
      <c r="J1107" s="220" t="str">
        <f>IF(OR(D1078=0,D1079="　"),"",MID(F1107,3,4))</f>
        <v>1</v>
      </c>
      <c r="K1107" s="214">
        <f>IFERROR(D1078*J1107,"")</f>
        <v>10</v>
      </c>
    </row>
    <row r="1108" spans="2:11" ht="12" customHeight="1">
      <c r="B1108" s="206" t="s">
        <v>9</v>
      </c>
      <c r="C1108" s="207" t="str" cm="1">
        <f t="array" ref="C1108">IF(OR(D1078=0,D1079="　"),"",IF(MID(D1079,4,1)="5","PS5-"&amp;_xlfn.SWITCH(1*MID(LEFT(D1079, LEN(D1079)-1),6,2),1,"7",2,"2",3,"3",4,"4",5,"7",6,"7",7,"7",8,"12",9,"12",10,"12",11,"12",12,"12"),"PS6-"&amp;_xlfn.SWITCH(1*MID(LEFT(D1079, LEN(D1079)-1),6,2),1,"7",2,"2",3,"3",4,"4",5,"7",6,"7",7,"7",8,"12",9,"12",10,"12",11,"12",12,"12",13,"14",14,"14"))&amp;"、高密度ポリエチレン")</f>
        <v>PS5-4、高密度ポリエチレン</v>
      </c>
      <c r="D1108" s="208"/>
      <c r="E1108" s="209"/>
      <c r="F1108" s="217" t="str">
        <f>"n=2"</f>
        <v>n=2</v>
      </c>
      <c r="G1108" s="218"/>
      <c r="H1108" s="219"/>
      <c r="I1108" s="213" t="s">
        <v>13</v>
      </c>
      <c r="J1108" s="220" t="str">
        <f>IF(OR(D1078=0,D1079="　"),"",MID(F1108,3,2))</f>
        <v>2</v>
      </c>
      <c r="K1108" s="214">
        <f>IFERROR(D1078*J1108,"")</f>
        <v>20</v>
      </c>
    </row>
    <row r="1109" spans="2:11" ht="12" customHeight="1">
      <c r="B1109" s="206" t="s">
        <v>2</v>
      </c>
      <c r="C1109" s="207" t="str" cm="1">
        <f t="array" ref="C1109">IF(OR(D1078=0,D1079="　"),"",IF(MID(D1079,4,1)="5","S5-"&amp;_xlfn.IFS(1*MID(LEFT(D1079, LEN(D1079)-1),6,2)&lt;6,"5",1*MID(LEFT(D1079, LEN(D1079)-1),6,2)&lt;9,"8",1*MID(LEFT(D1079, LEN(D1079)-1),6,2)&gt;8,"12"),"S6-"&amp;_xlfn.IFS(1*MID(LEFT(D1079, LEN(D1079)-1),6,2)&lt;4,"3",1*MID(LEFT(D1079, LEN(D1079)-1),6,2)&lt;7,"6",1*MID(LEFT(D1079, LEN(D1079)-1),6,2)&lt;10,"9",1*MID(LEFT(D1079, LEN(D1079)-1),6,2)&lt;13,"12",1*MID(LEFT(D1079, LEN(D1079)-1),6,2)&gt;12,"14"))&amp;"、ポリプロピレン")</f>
        <v>S5-5、ポリプロピレン</v>
      </c>
      <c r="D1109" s="208"/>
      <c r="E1109" s="209"/>
      <c r="F1109" s="222" t="s">
        <v>155</v>
      </c>
      <c r="G1109" s="211"/>
      <c r="H1109" s="212"/>
      <c r="I1109" s="213" t="s">
        <v>13</v>
      </c>
      <c r="J1109" s="206">
        <f>IF(OR(D1078=0,D1079="　"),"",MROUND((D1087-0.4)/1,1))</f>
        <v>4</v>
      </c>
      <c r="K1109" s="214">
        <f>IFERROR(D1078*J1109,"")</f>
        <v>40</v>
      </c>
    </row>
    <row r="1110" spans="2:11" ht="12" customHeight="1">
      <c r="B1110" s="206" t="s">
        <v>1</v>
      </c>
      <c r="C1110" s="207" t="str" cm="1">
        <f t="array" ref="C1110">IF(OR(D1078=0,D1079="　"),"",IF(MID(D1079,4,1)="5","PC5-"&amp;_xlfn.IFS(1*MID(LEFT(D1079, LEN(D1079)-1),6,2)&lt;5,"4",1*MID(LEFT(D1079, LEN(D1079)-1),6,2)&lt;8,"7",1*MID(LEFT(D1079, LEN(D1079)-1),6,2)&lt;10,"9",1*MID(LEFT(D1079, LEN(D1079)-1),6,2)&gt;9,"12"),"PC6-"&amp;_xlfn.IFS(1*MID(LEFT(D1079, LEN(D1079)-1),6,2)&lt;4,"3",1*MID(LEFT(D1079, LEN(D1079)-1),6,2)&lt;8,"7",1*MID(LEFT(D1079, LEN(D1079)-1),6,2)&lt;13,"12",1*MID(LEFT(D1079, LEN(D1079)-1),6,2)&gt;12,"14"))&amp;"、ポリプロピレン")</f>
        <v>PC5-4、ポリプロピレン</v>
      </c>
      <c r="D1110" s="208"/>
      <c r="E1110" s="209"/>
      <c r="F1110" s="217" t="str">
        <f>"n=1"</f>
        <v>n=1</v>
      </c>
      <c r="G1110" s="218"/>
      <c r="H1110" s="219"/>
      <c r="I1110" s="213" t="s">
        <v>13</v>
      </c>
      <c r="J1110" s="220" t="str">
        <f>IF(OR(D1078=0,D1079="　"),"",MID(F1110,3,2))</f>
        <v>1</v>
      </c>
      <c r="K1110" s="214">
        <f>IFERROR(D1078*J1110,"")</f>
        <v>10</v>
      </c>
    </row>
    <row r="1111" spans="2:11" ht="12" customHeight="1">
      <c r="B1111" s="206" t="s">
        <v>3</v>
      </c>
      <c r="C1111" s="207" t="str">
        <f>IF(OR(D1078=0,D1079="　"),"","66ナイロン")</f>
        <v>66ナイロン</v>
      </c>
      <c r="D1111" s="208"/>
      <c r="E1111" s="209"/>
      <c r="F1111" s="222" t="s">
        <v>156</v>
      </c>
      <c r="G1111" s="211"/>
      <c r="H1111" s="212"/>
      <c r="I1111" s="213" t="s">
        <v>14</v>
      </c>
      <c r="J1111" s="206">
        <f>IF(OR(D1078=0,D1079="　"),"",2*J1109)</f>
        <v>8</v>
      </c>
      <c r="K1111" s="214">
        <f>IFERROR(D1078*J1111,"")</f>
        <v>80</v>
      </c>
    </row>
    <row r="1112" spans="2:11" ht="12" customHeight="1">
      <c r="B1112" s="206" t="s">
        <v>4</v>
      </c>
      <c r="C1112" s="207" t="str">
        <f>IF(OR(D1078=0,D1079="　"),"","フィラメントテープ")</f>
        <v>フィラメントテープ</v>
      </c>
      <c r="D1112" s="208"/>
      <c r="E1112" s="209"/>
      <c r="F1112" s="222" t="str">
        <f>IF(OR(D1078=0,D1079="　"),"","L=((自由長+緊張部長)÷@1.0m)×テープ係数"&amp;IF(MID(D1079,4,1)="5",_xlfn.IFS(1*MID(LEFT(D1079, LEN(D1079)-1),6,2)&lt;4,"0.8",1*MID(LEFT(D1079, LEN(D1079)-1),6,2)&lt;7,"1.0",1*MID(LEFT(D1079, LEN(D1079)-1),6,2)&lt;10,"1.2",1*MID(LEFT(D1079, LEN(D1079)-1),6,2)&lt;13,"1.4"),_xlfn.IFS(1*MID(LEFT(D1079, LEN(D1079)-1),6,2)&lt;4,"1.0",1*MID(LEFT(D1079, LEN(D1079)-1),6,2)&lt;7,"1.2",1*MID(LEFT(D1079, LEN(D1079)-1),6,2)&lt;10,"1.4",1*MID(LEFT(D1079, LEN(D1079)-1),6,2)&lt;15,"1.8")))</f>
        <v>L=((自由長+緊張部長)÷@1.0m)×テープ係数1.0</v>
      </c>
      <c r="G1112" s="211"/>
      <c r="H1112" s="212"/>
      <c r="I1112" s="213" t="s">
        <v>12</v>
      </c>
      <c r="J1112" s="223">
        <f>IF(OR(D1078=0,D1079="　"),"",MROUND((SUM(D1088,D1089))/1*RIGHT(F1112, 3),0.1))</f>
        <v>5.5</v>
      </c>
      <c r="K1112" s="214">
        <f>IFERROR(D1078*J1112,"")</f>
        <v>55</v>
      </c>
    </row>
    <row r="1113" spans="2:11" ht="12" customHeight="1">
      <c r="B1113" s="206" t="s">
        <v>0</v>
      </c>
      <c r="C1113" s="207" t="str">
        <f>IF(OR(D1078=0,D1079="　"),"","16/20、高密度ポリエチレン")</f>
        <v>16/20、高密度ポリエチレン</v>
      </c>
      <c r="D1113" s="208"/>
      <c r="E1113" s="209"/>
      <c r="F1113" s="210" t="s">
        <v>33</v>
      </c>
      <c r="G1113" s="211"/>
      <c r="H1113" s="212"/>
      <c r="I1113" s="213" t="s">
        <v>12</v>
      </c>
      <c r="J1113" s="214">
        <f>IF(OR(D1078=0,D1079="　"),"",MROUND(D1091,0.1))</f>
        <v>9.7000000000000011</v>
      </c>
      <c r="K1113" s="214">
        <f>IFERROR(D1078*J1113,"")</f>
        <v>97.000000000000014</v>
      </c>
    </row>
    <row r="1114" spans="2:11" ht="12" customHeight="1">
      <c r="B1114" s="206" t="str" cm="1">
        <f t="array" ref="B1114">_xlfn.IFS(OR(D1078=0,D1079="　",MID(D1082,1,2)="なし",MID(D1082,1,3)="受圧体"),"",MID(D1082,1,3)="のり面","のり面角度台座",MID(D1082,1,3)="構造物","構造物壁面台座",MID(D1082,1,3)="土留め","土留め台座")</f>
        <v>のり面角度台座</v>
      </c>
      <c r="C1114" s="210" t="str" cm="1">
        <f t="array" ref="C1114">IF(OR(D1078=0,D1079="　",MID(D1082,1,2)="なし",MID(D1082,1,3)="受圧体"),"",_xlfn.IFS(MID(D1082,1,3)="のり面",IF(1*MID(D1079,4,1)=5,_xlfn.IFS(1*MID(LEFT(D1079, LEN(D1079)-1),6,2)&lt;5,"ST140",1*MID(LEFT(D1079, LEN(D1079)-1),6,2)&lt;8,"ST170",1*MID(LEFT(D1079, LEN(D1079)-1),6,2)&lt;13,"ST220"),_xlfn.IFS(1*MID(LEFT(D1079, LEN(D1079)-1),6,2)&lt;4,"ST140",1*MID(LEFT(D1079, LEN(D1079)-1),6,2)&lt;5,"ST170",1*MID(LEFT(D1079, LEN(D1079)-1),6,2)&lt;8,"ST220",1*MID(LEFT(D1079, LEN(D1079)-1),6,2)&lt;15,"非該当"))&amp;"、FCD450相当、防食："&amp;_xlfn.IFS(MID(D1080,1,3)="防食Ⅱ","HDZT77めっき",MID(D1080,5,2)="塩害","ｱﾙﾐﾅｲｽﾞ処理",MID(D1080,5,2)="酸性","重防食処理"),OR(MID(D1082,1,3)="構造物",MID(D1082,1,3)="土留め"),D1079&amp;"用"&amp;IF(OR(MID(D1082,1,3)="構造物",D1083="　"),"",D1083)&amp;"、防食："&amp;_xlfn.IFS(MID(D1080,1,3)="防食Ⅱ","HDZT77めっき",MID(D1080,5,2)="塩害","ｱﾙﾐﾅｲｽﾞ処理",MID(D1080,5,2)="酸性","重防食処理")))</f>
        <v>ST140、FCD450相当、防食：HDZT77めっき</v>
      </c>
      <c r="D1114" s="208"/>
      <c r="E1114" s="209"/>
      <c r="F1114" s="217" t="str">
        <f>IF(OR(D1082="なし",D1082="受圧体のみ"),"","n=1")</f>
        <v>n=1</v>
      </c>
      <c r="G1114" s="218"/>
      <c r="H1114" s="219"/>
      <c r="I1114" s="213" t="str">
        <f>IF(OR(D1078=0,D1079="　",B1114=""),"","台")</f>
        <v>台</v>
      </c>
      <c r="J1114" s="220" t="str">
        <f>IF(OR(D1078=0,D1079="　"),"",MID(F1114,3,2))</f>
        <v>1</v>
      </c>
      <c r="K1114" s="214">
        <f>IFERROR(D1078*J1114,"")</f>
        <v>10</v>
      </c>
    </row>
    <row r="1115" spans="2:11" ht="12" customHeight="1">
      <c r="B1115" s="206" t="str">
        <f>IF(OR(D1078=0,D1079="　",MID(D1082,1,3)&lt;&gt;"のり面"),"","補剛板")</f>
        <v>補剛板</v>
      </c>
      <c r="C1115" s="210" t="str" cm="1">
        <f t="array" ref="C1115">IF(OR(D1078=0,D1079="　",MID(D1082,1,3)&lt;&gt;"のり面"),"",IF(MID(D1079,4,1)="5","□"&amp;_xlfn.SWITCH(1*MID(LEFT(D1079, LEN(D1079)-1),6,2),1,"210φ131t12",2,"210φ131t12",3,"240φ131t12",4,"270φ131t12",5,"280φ143t12",6,"310φ143t16",7,"350φ143t19",8,"350φ180t19",9,"350φ180t19",10,"350φ180t19",11,"350φ180t22",12,"350φ180t22"),"□"&amp;_xlfn.SWITCH(1*MID(LEFT(D1079, LEN(D1079)-1),6,2),1,"210,φ131,t12",2,"240,φ131,t12",3,"270,φ131,t16",4,"300,φ143,t16",5,"350,φ180,t16",6,"350,φ180,t16",7,"350,φ180,t19",8,"400,φ──,t12",9,"400,φ──,t12",10,"400,φ──,t12",11,"400,φ──,t12",12,"400,φ──,t12",13,"400,φ──,t12",14,"400,φ──,t12"))&amp;"、SS400相当、防食："&amp;_xlfn.IFS(MID(D1080,1,3)="防食Ⅱ","HDZT77めっき",MID(D1080,5,2)="塩害","ｱﾙﾐﾅｲｽﾞ処理",MID(D1080,5,2)="酸性","重防食処理"))</f>
        <v>□270φ131t12、SS400相当、防食：HDZT77めっき</v>
      </c>
      <c r="D1115" s="208"/>
      <c r="E1115" s="209"/>
      <c r="F1115" s="217" t="str">
        <f>IF(OR(D1078=0,D1079="　",MID(D1082,1,3)&lt;&gt;"のり面"),"","n=1")</f>
        <v>n=1</v>
      </c>
      <c r="G1115" s="218"/>
      <c r="H1115" s="219"/>
      <c r="I1115" s="213" t="str">
        <f>IF(OR(D1078=0,D1079="　",B1115="",MID(D1082,1,3)&lt;&gt;"のり面"),"","枚")</f>
        <v>枚</v>
      </c>
      <c r="J1115" s="220" t="str">
        <f>IF(OR(D1078=0,D1079="　"),"",MID(F1115,3,2))</f>
        <v>1</v>
      </c>
      <c r="K1115" s="214">
        <f>IFERROR(D1078*J1115,"")</f>
        <v>10</v>
      </c>
    </row>
    <row r="1116" spans="2:11" ht="12" customHeight="1">
      <c r="B1116" s="206" t="str" cm="1">
        <f t="array" ref="B1116">_xlfn.IFS(OR(D1078=0,D1079="　"),"",MID(D1081,1,3)="アルミ","",MID(D1081,1,3)&lt;&gt;"アルミ","テンドン補修用塗料")</f>
        <v>テンドン補修用塗料</v>
      </c>
      <c r="C1116" s="210" t="str" cm="1">
        <f t="array" ref="C1116">_xlfn.IFS(OR(D1078=0,D1079="　"),"",MID(D1081,1,3)="アルミ","",MID(D1081,1,3)&lt;&gt;"アルミ","エポキシ樹脂")</f>
        <v>エポキシ樹脂</v>
      </c>
      <c r="D1116" s="208"/>
      <c r="E1116" s="209"/>
      <c r="F1116" s="217" t="str" cm="1">
        <f t="array" ref="F1116">_xlfn.IFS(OR(D1078=0,D1079="　"),"",MID(D1081,1,3)="アルミ","",MID(D1081,1,3)&lt;&gt;"アルミ","W=PC鋼より線本数×"&amp;IF(MID(D1079,4,1)="5","0.28","0.40"))</f>
        <v>W=PC鋼より線本数×0.28</v>
      </c>
      <c r="G1116" s="218"/>
      <c r="H1116" s="219"/>
      <c r="I1116" s="213" t="str" cm="1">
        <f t="array" ref="I1116">_xlfn.IFS(OR(D1078=0,D1079="　"),"",MID(D1081,1,3)="アルミ","",MID(D1081,1,3)&lt;&gt;"アルミ","g")</f>
        <v>g</v>
      </c>
      <c r="J1116" s="224" cm="1">
        <f t="array" ref="J1116">_xlfn.IFS(OR(D1078=0,D1079="　"),"",MID(D1081,1,3)="アルミ","",MID(D1081,1,3)&lt;&gt;"アルミ",MID(LEFT(D1079, LEN(D1079)-1),6,2)*IF(MID(D1079,4,1)="5",0.28,0.4))</f>
        <v>1.1200000000000001</v>
      </c>
      <c r="K1116" s="214">
        <f>IFERROR(D1078*J1116,"")</f>
        <v>11.200000000000001</v>
      </c>
    </row>
    <row r="1117" spans="2:11" ht="12" customHeight="1">
      <c r="B1117" s="206" t="str" cm="1">
        <f t="array" ref="B1117">_xlfn.IFS(OR(D1078=0,D1079="　"),"",MID(D1081,1,3)="アルミ","",MID(D1081,1,3)&lt;&gt;"アルミ","長期防錆スプレー")</f>
        <v>長期防錆スプレー</v>
      </c>
      <c r="C1117" s="210" t="str" cm="1">
        <f t="array" ref="C1117">_xlfn.IFS(OR(D1078=0,D1079="　"),"",MID(D1081,1,3)="アルミ","",MID(D1081,1,3)&lt;&gt;"アルミ","防錆オイル")</f>
        <v>防錆オイル</v>
      </c>
      <c r="D1117" s="208"/>
      <c r="E1117" s="209"/>
      <c r="F1117" s="217" t="str" cm="1">
        <f t="array" ref="F1117">_xlfn.IFS(OR(D1078=0,D1079="　"),"",MID(D1081,1,3)="アルミ","",MID(D1081,1,3)&lt;&gt;"アルミ","n=0.01×(PC鋼より線本数+"&amp;IF(MID(D1079,4,1)="5","6","12")&amp;")")</f>
        <v>n=0.01×(PC鋼より線本数+6)</v>
      </c>
      <c r="G1117" s="218"/>
      <c r="H1117" s="219"/>
      <c r="I1117" s="213" t="str" cm="1">
        <f t="array" ref="I1117">_xlfn.IFS(OR(D1078=0,D1079="　"),"",MID(D1081,1,3)="アルミ","",MID(D1081,1,3)&lt;&gt;"アルミ","缶")</f>
        <v>缶</v>
      </c>
      <c r="J1117" s="224" cm="1">
        <f t="array" ref="J1117">_xlfn.IFS(OR(D1078=0,D1079="　"),"",MID(D1081,1,3)="アルミ","",MID(D1081,1,3)&lt;&gt;"アルミ",0.01*(MID(LEFT(D1079, LEN(D1079)-1),6,2)+IF(MID(D1079,4,1)="5",6,12)))</f>
        <v>0.1</v>
      </c>
      <c r="K1117" s="214">
        <f>IFERROR(D1078*J1117,"")</f>
        <v>1</v>
      </c>
    </row>
    <row r="1118" spans="2:11" ht="12" customHeight="1">
      <c r="B1118" s="206" t="str">
        <f>IF(OR(D1078=0,D1079="　",D1084="なし"),"","フリーパッカー注入ホース")</f>
        <v/>
      </c>
      <c r="C1118" s="207" t="str">
        <f>IF(OR(D1078=0,D1079="　",B1118=""),"","16/20、高密度ポリエチレン")</f>
        <v/>
      </c>
      <c r="D1118" s="208"/>
      <c r="E1118" s="209"/>
      <c r="F1118" s="210" t="str">
        <f>IF(B1118="","","L=自由長+緊張部長")</f>
        <v/>
      </c>
      <c r="G1118" s="211"/>
      <c r="H1118" s="212"/>
      <c r="I1118" s="213" t="str">
        <f>IF(OR(D1078=0,D1079="　",B1118=""),"","m")</f>
        <v/>
      </c>
      <c r="J1118" s="214" t="str">
        <f>IF(OR(D1078=0,D1079="　"),"",IF(B1118="","",MROUND(D1088+D1089,0.1)))</f>
        <v/>
      </c>
      <c r="K1118" s="214" t="str">
        <f>IFERROR(D1078*J1118,"")</f>
        <v/>
      </c>
    </row>
    <row r="1119" spans="2:11" ht="12" customHeight="1">
      <c r="B1119" s="225" t="str">
        <f>IF(OR(D1078=0,D1079="　",D1084="なし"),"","フリーパッカー")</f>
        <v/>
      </c>
      <c r="C1119" s="217" t="str" cm="1">
        <f t="array" ref="C1119">IF(OR(D1078=0,D1079="　",B1118=""),"",_xlfn.SWITCH(D1093,90,"PA-170",115,"PA-200",135,"PA-240",146,"PA-240",165,"PA-350")&amp;"、織布")</f>
        <v/>
      </c>
      <c r="D1119" s="208"/>
      <c r="E1119" s="209"/>
      <c r="F1119" s="226" t="str">
        <f>IF(B1119="","","L=自由長+0.5m")</f>
        <v/>
      </c>
      <c r="G1119" s="227"/>
      <c r="H1119" s="228"/>
      <c r="I1119" s="213" t="str">
        <f>IF(OR(D1079=0,D1080="　",B1119=""),"","m")</f>
        <v/>
      </c>
      <c r="J1119" s="214" t="str">
        <f>IF(OR(D1078=0,D1079="　"),"",IF(B1119="","",MROUND(D1088+0.5,0.1)))</f>
        <v/>
      </c>
      <c r="K1119" s="214" t="str">
        <f>IFERROR(D1078*J1119,"")</f>
        <v/>
      </c>
    </row>
    <row r="1120" spans="2:11" ht="12" customHeight="1">
      <c r="B1120" s="206" t="str">
        <f>IF(OR(D1078=0,D1079="　",D1084="なし"),"","パッカー取付加工")</f>
        <v/>
      </c>
      <c r="C1120" s="207"/>
      <c r="D1120" s="208"/>
      <c r="E1120" s="209"/>
      <c r="F1120" s="217" t="str">
        <f>IF(B1120="","","n=1")</f>
        <v/>
      </c>
      <c r="G1120" s="218"/>
      <c r="H1120" s="219"/>
      <c r="I1120" s="213" t="str">
        <f>IF(OR(D1080=0,D1081="　",B1120=""),"","式")</f>
        <v/>
      </c>
      <c r="J1120" s="220" t="str">
        <f>IF(OR(D1078=0,D1079="　"),"",MID(F1120,3,2))</f>
        <v/>
      </c>
      <c r="K1120" s="206" t="str">
        <f>IFERROR(D1078*J1120,"")</f>
        <v/>
      </c>
    </row>
    <row r="1121" spans="2:11" ht="12" customHeight="1">
      <c r="B1121" s="229"/>
      <c r="C1121" s="230"/>
      <c r="D1121" s="231"/>
      <c r="E1121" s="232"/>
      <c r="F1121" s="233"/>
      <c r="G1121" s="234"/>
      <c r="H1121" s="235"/>
      <c r="I1121" s="236"/>
      <c r="J1121" s="237"/>
      <c r="K1121" s="229"/>
    </row>
    <row r="1122" spans="2:11" ht="12" customHeight="1">
      <c r="B1122" s="238" t="s">
        <v>30</v>
      </c>
      <c r="C1122" s="239" t="s">
        <v>31</v>
      </c>
      <c r="D1122" s="240"/>
      <c r="E1122" s="241"/>
      <c r="F1122" s="242" t="s">
        <v>157</v>
      </c>
      <c r="G1122" s="243"/>
      <c r="H1122" s="244"/>
      <c r="I1122" s="245" t="s">
        <v>55</v>
      </c>
      <c r="J1122" s="246">
        <f>IFERROR(MROUND(0.25*PI()*(0.001*D1093)^2*(D1086+D1087+D1092)*(1+2.2),0.01),"")</f>
        <v>0.17</v>
      </c>
      <c r="K1122" s="246">
        <f>IFERROR(D1078*J1122,"")</f>
        <v>1.7000000000000002</v>
      </c>
    </row>
    <row r="1124" spans="2:11" ht="12" customHeight="1">
      <c r="B1124" s="247" t="s">
        <v>136</v>
      </c>
      <c r="C1124" s="247"/>
      <c r="D1124" s="247"/>
      <c r="F1124" s="163"/>
      <c r="G1124" s="164"/>
      <c r="H1124" s="164"/>
    </row>
    <row r="1125" spans="2:11" ht="12" customHeight="1">
      <c r="B1125" s="15" t="s">
        <v>111</v>
      </c>
      <c r="C1125" s="15"/>
      <c r="D1125" s="1"/>
      <c r="E1125" s="1"/>
      <c r="H1125" s="119"/>
      <c r="J1125" s="118"/>
    </row>
    <row r="1126" spans="2:11" ht="12" customHeight="1">
      <c r="B1126" s="165" t="s">
        <v>166</v>
      </c>
      <c r="C1126" s="3"/>
      <c r="D1126" s="1"/>
      <c r="E1126" s="1"/>
      <c r="F1126" s="8"/>
      <c r="G1126" s="8"/>
      <c r="H1126" s="102"/>
      <c r="I1126" s="28"/>
      <c r="J1126" s="118"/>
    </row>
    <row r="1127" spans="2:11" ht="12" customHeight="1">
      <c r="B1127" s="15" t="s">
        <v>40</v>
      </c>
      <c r="C1127" s="3"/>
      <c r="D1127" s="1"/>
      <c r="E1127" s="1"/>
      <c r="F1127" s="15" t="s">
        <v>54</v>
      </c>
      <c r="G1127" s="15"/>
      <c r="H1127" s="102"/>
      <c r="I1127" s="28"/>
    </row>
    <row r="1128" spans="2:11" ht="12" customHeight="1">
      <c r="B1128" s="2" t="s">
        <v>53</v>
      </c>
      <c r="C1128" s="2" t="s">
        <v>21</v>
      </c>
      <c r="D1128" s="2" t="s">
        <v>22</v>
      </c>
      <c r="E1128" s="17"/>
      <c r="F1128" s="49" t="s">
        <v>41</v>
      </c>
      <c r="G1128" s="97" t="s">
        <v>59</v>
      </c>
      <c r="H1128" s="49" t="s">
        <v>44</v>
      </c>
      <c r="I1128" s="2" t="s">
        <v>21</v>
      </c>
      <c r="J1128" s="49" t="s">
        <v>138</v>
      </c>
      <c r="K1128" s="2" t="s">
        <v>28</v>
      </c>
    </row>
    <row r="1129" spans="2:11" ht="12" customHeight="1">
      <c r="B1129" s="166" t="s">
        <v>25</v>
      </c>
      <c r="C1129" s="18" t="s">
        <v>24</v>
      </c>
      <c r="D1129" s="167">
        <v>10</v>
      </c>
      <c r="E1129" s="19"/>
      <c r="F1129" s="168" t="s">
        <v>43</v>
      </c>
      <c r="G1129" s="169" t="s">
        <v>113</v>
      </c>
      <c r="H1129" s="88" t="str" cm="1">
        <f t="array" ref="H1129">_xlfn.IFS(AND(F1129&lt;&gt;"非削孔",F1129&lt;&gt;"無設定"),D1144,F1129="非削孔",IF(MID(D1133,1,3)="土留め","非削孔","箱抜き"),F1129="無設定","無設定")</f>
        <v>箱抜き</v>
      </c>
      <c r="I1129" s="23" t="str">
        <f>IF(F1129="無設定","","m")</f>
        <v>m</v>
      </c>
      <c r="J1129" s="170">
        <v>0.5</v>
      </c>
      <c r="K1129" s="30">
        <f>D1129*J1129</f>
        <v>5</v>
      </c>
    </row>
    <row r="1130" spans="2:11" ht="12" customHeight="1">
      <c r="B1130" s="171" t="s">
        <v>37</v>
      </c>
      <c r="C1130" s="50" t="s">
        <v>38</v>
      </c>
      <c r="D1130" s="172" t="s">
        <v>159</v>
      </c>
      <c r="E1130" s="173"/>
      <c r="F1130" s="174" t="s">
        <v>49</v>
      </c>
      <c r="G1130" s="169" t="s">
        <v>114</v>
      </c>
      <c r="H1130" s="88" cm="1">
        <f t="array" ref="H1130">_xlfn.IFS(AND(F1130&lt;&gt;"非削孔",F1130&lt;&gt;"無設定"),D1144,F1130="非削孔","箱抜き",F1130="無設定","無設定")</f>
        <v>90</v>
      </c>
      <c r="I1130" s="23" t="str">
        <f t="shared" ref="I1130:I1138" si="44">IF(F1130="無設定","","m")</f>
        <v>m</v>
      </c>
      <c r="J1130" s="170">
        <v>2.64</v>
      </c>
      <c r="K1130" s="30">
        <f>D1129*J1130</f>
        <v>26.400000000000002</v>
      </c>
    </row>
    <row r="1131" spans="2:11" ht="12" customHeight="1">
      <c r="B1131" s="52" t="s">
        <v>39</v>
      </c>
      <c r="C1131" s="91" t="s">
        <v>38</v>
      </c>
      <c r="D1131" s="175" t="s">
        <v>60</v>
      </c>
      <c r="E1131" s="140"/>
      <c r="F1131" s="174" t="s">
        <v>49</v>
      </c>
      <c r="G1131" s="169" t="s">
        <v>115</v>
      </c>
      <c r="H1131" s="88" cm="1">
        <f t="array" ref="H1131">_xlfn.IFS(AND(F1131&lt;&gt;"非削孔",F1131&lt;&gt;"無設定"),D1144,F1131="非削孔","箱抜き",F1131="無設定","無設定")</f>
        <v>90</v>
      </c>
      <c r="I1131" s="23" t="str">
        <f t="shared" si="44"/>
        <v>m</v>
      </c>
      <c r="J1131" s="170">
        <v>5.36</v>
      </c>
      <c r="K1131" s="30">
        <f>D1129*J1131</f>
        <v>53.6</v>
      </c>
    </row>
    <row r="1132" spans="2:11" ht="12" customHeight="1">
      <c r="B1132" s="147" t="s">
        <v>140</v>
      </c>
      <c r="C1132" s="91" t="s">
        <v>38</v>
      </c>
      <c r="D1132" s="176" t="s">
        <v>141</v>
      </c>
      <c r="E1132" s="141"/>
      <c r="F1132" s="174" t="s">
        <v>48</v>
      </c>
      <c r="G1132" s="169"/>
      <c r="H1132" s="88" t="str" cm="1">
        <f t="array" ref="H1132">_xlfn.IFS(AND(F1132&lt;&gt;"非削孔",F1132&lt;&gt;"無設定"),D1144,F1132="非削孔","箱抜き",F1132="無設定","無設定")</f>
        <v>無設定</v>
      </c>
      <c r="I1132" s="23" t="str">
        <f t="shared" si="44"/>
        <v/>
      </c>
      <c r="J1132" s="170">
        <v>0</v>
      </c>
      <c r="K1132" s="30">
        <f>D1129*J1132</f>
        <v>0</v>
      </c>
    </row>
    <row r="1133" spans="2:11" ht="12" customHeight="1">
      <c r="B1133" s="147" t="s">
        <v>142</v>
      </c>
      <c r="C1133" s="91" t="s">
        <v>38</v>
      </c>
      <c r="D1133" s="177" t="s">
        <v>160</v>
      </c>
      <c r="E1133" s="21"/>
      <c r="F1133" s="174" t="s">
        <v>48</v>
      </c>
      <c r="G1133" s="169"/>
      <c r="H1133" s="88" t="str" cm="1">
        <f t="array" ref="H1133">_xlfn.IFS(AND(F1133&lt;&gt;"非削孔",F1133&lt;&gt;"無設定"),D1144,F1133="非削孔","箱抜き",F1133="無設定","無設定")</f>
        <v>無設定</v>
      </c>
      <c r="I1133" s="23" t="str">
        <f t="shared" si="44"/>
        <v/>
      </c>
      <c r="J1133" s="170">
        <v>0</v>
      </c>
      <c r="K1133" s="30">
        <f>D1129*J1133</f>
        <v>0</v>
      </c>
    </row>
    <row r="1134" spans="2:11" ht="12" customHeight="1">
      <c r="B1134" s="114" t="str">
        <f>IF(MID(D1133,1,3)="土留め",D1133&amp;"の種類","")</f>
        <v/>
      </c>
      <c r="C1134" s="91" t="s">
        <v>38</v>
      </c>
      <c r="D1134" s="178" t="s">
        <v>71</v>
      </c>
      <c r="E1134" s="21"/>
      <c r="F1134" s="174" t="s">
        <v>48</v>
      </c>
      <c r="G1134" s="169"/>
      <c r="H1134" s="88" t="str" cm="1">
        <f t="array" ref="H1134">_xlfn.IFS(AND(F1134&lt;&gt;"非削孔",F1134&lt;&gt;"無設定"),D1144,F1134="非削孔","箱抜き",F1134="無設定","無設定")</f>
        <v>無設定</v>
      </c>
      <c r="I1134" s="23" t="str">
        <f t="shared" si="44"/>
        <v/>
      </c>
      <c r="J1134" s="170">
        <v>0</v>
      </c>
      <c r="K1134" s="30">
        <f>D1129*J1134</f>
        <v>0</v>
      </c>
    </row>
    <row r="1135" spans="2:11" ht="12" customHeight="1">
      <c r="B1135" s="179" t="s">
        <v>50</v>
      </c>
      <c r="C1135" s="180" t="s">
        <v>38</v>
      </c>
      <c r="D1135" s="181" t="s">
        <v>51</v>
      </c>
      <c r="E1135" s="182"/>
      <c r="F1135" s="174" t="s">
        <v>48</v>
      </c>
      <c r="G1135" s="169"/>
      <c r="H1135" s="88" t="str" cm="1">
        <f t="array" ref="H1135">_xlfn.IFS(AND(F1135&lt;&gt;"非削孔",F1135&lt;&gt;"無設定"),D1144,F1135="非削孔","箱抜き",F1135="無設定","無設定")</f>
        <v>無設定</v>
      </c>
      <c r="I1135" s="23" t="str">
        <f t="shared" si="44"/>
        <v/>
      </c>
      <c r="J1135" s="170">
        <v>0</v>
      </c>
      <c r="K1135" s="30">
        <f>D1129*J1135</f>
        <v>0</v>
      </c>
    </row>
    <row r="1136" spans="2:11" ht="12" customHeight="1">
      <c r="B1136" s="160" t="str" cm="1">
        <f t="array" ref="B1136">"頭部自由長"&amp;_xlfn.IFS(MID(D1133,1,2)="なし","",MID(D1133,1,3)="受圧体","(受圧体)",MID(D1133,1,3)="のり面","(角度台座＋受圧体)",MID(D1133,1,3)="構造物","(壁面台座)",MID(D1133,1,3)="土留め","(台座+腹起し)")&amp;"　Lfh"</f>
        <v>頭部自由長(角度台座＋受圧体)　Lfh</v>
      </c>
      <c r="C1136" s="155" t="s">
        <v>23</v>
      </c>
      <c r="D1136" s="183">
        <v>0.5</v>
      </c>
      <c r="E1136" s="21"/>
      <c r="F1136" s="174" t="s">
        <v>144</v>
      </c>
      <c r="G1136" s="169"/>
      <c r="H1136" s="88" cm="1">
        <f t="array" ref="H1136">_xlfn.IFS(AND(F1136&lt;&gt;"非削孔",F1136&lt;&gt;"無設定"),D1144,F1136="非削孔","箱抜き",F1136="無設定","無設定")</f>
        <v>90</v>
      </c>
      <c r="I1136" s="23" t="str">
        <f t="shared" si="44"/>
        <v>m</v>
      </c>
      <c r="J1136" s="170">
        <v>0</v>
      </c>
      <c r="K1136" s="30">
        <f>D1129*J1136</f>
        <v>0</v>
      </c>
    </row>
    <row r="1137" spans="2:11" ht="12" customHeight="1">
      <c r="B1137" s="22" t="s">
        <v>108</v>
      </c>
      <c r="C1137" s="23" t="s">
        <v>23</v>
      </c>
      <c r="D1137" s="184">
        <v>4</v>
      </c>
      <c r="E1137" s="21"/>
      <c r="F1137" s="174" t="s">
        <v>48</v>
      </c>
      <c r="G1137" s="169"/>
      <c r="H1137" s="88" t="str" cm="1">
        <f t="array" ref="H1137">_xlfn.IFS(AND(F1137&lt;&gt;"非削孔",F1137&lt;&gt;"無設定"),D1144,F1137="非削孔","箱抜き",F1137="無設定","無設定")</f>
        <v>無設定</v>
      </c>
      <c r="I1137" s="23" t="str">
        <f t="shared" si="44"/>
        <v/>
      </c>
      <c r="J1137" s="170">
        <v>0</v>
      </c>
      <c r="K1137" s="30">
        <f>D1129*J1137</f>
        <v>0</v>
      </c>
    </row>
    <row r="1138" spans="2:11" ht="12" customHeight="1">
      <c r="B1138" s="157" t="s">
        <v>36</v>
      </c>
      <c r="C1138" s="158" t="s">
        <v>23</v>
      </c>
      <c r="D1138" s="185">
        <v>4</v>
      </c>
      <c r="F1138" s="186" t="str" cm="1">
        <f t="array" ref="F1138">INDEX(F1129:H1137,MATCH("無設定",F1129:F1137,0)-1,MATCH(F1128,F1128:H1128,0))</f>
        <v>軟　岩</v>
      </c>
      <c r="G1138" s="100" t="str" cm="1">
        <f t="array" ref="G1138">INDEX(F1129:H1137,MATCH("無設定",F1129:F1137,0)-1,MATCH(G1128,F1128:H1128,0))&amp;"　(先端長 L2d)"</f>
        <v>風化岩 CL　(先端長 L2d)</v>
      </c>
      <c r="H1138" s="88" cm="1">
        <f t="array" ref="H1138">INDEX(F1129:H1137,MATCH("無設定",F1129:F1137,0)-1,MATCH(H1128,F1128:H1128,0))</f>
        <v>90</v>
      </c>
      <c r="I1138" s="23" t="str">
        <f t="shared" si="44"/>
        <v>m</v>
      </c>
      <c r="J1138" s="98">
        <f>D1143</f>
        <v>0.25</v>
      </c>
      <c r="K1138" s="78">
        <f>IFERROR(D1129*J1138,"")</f>
        <v>2.5</v>
      </c>
    </row>
    <row r="1139" spans="2:11" ht="12" customHeight="1">
      <c r="B1139" s="154" t="s">
        <v>145</v>
      </c>
      <c r="C1139" s="155" t="s">
        <v>23</v>
      </c>
      <c r="D1139" s="187">
        <f>IF(OR(D1129=0,D1130="　"),"──",SUM(D1136:D1137))</f>
        <v>4.5</v>
      </c>
      <c r="E1139" s="19"/>
      <c r="F1139" s="188"/>
      <c r="G1139" s="75" t="s">
        <v>124</v>
      </c>
      <c r="H1139" s="103"/>
      <c r="I1139" s="18" t="s">
        <v>23</v>
      </c>
      <c r="J1139" s="74">
        <f>SUMIFS(J1129:J1138,F1129:F1138,"&lt;&gt;非削孔",F1129:F1138,"&lt;&gt;無設定")</f>
        <v>8.25</v>
      </c>
      <c r="K1139" s="95">
        <f>SUMIFS(K1129:K1138,F1129:F1138,"&lt;&gt;非削孔",F1129:F1138,"&lt;&gt;無設定")</f>
        <v>82.5</v>
      </c>
    </row>
    <row r="1140" spans="2:11" ht="12" customHeight="1">
      <c r="B1140" s="146" t="s">
        <v>146</v>
      </c>
      <c r="C1140" s="23" t="s">
        <v>23</v>
      </c>
      <c r="D1140" s="189" cm="1">
        <f t="array" ref="D1140">IF(OR(D1129=0,D1130="　"),"──",IF(MID(D1130,4,1)="5",_xlfn.IFS(1*MID(LEFT(D1130, LEN(D1130)-1),6,2)&lt;8,1,1*MID(LEFT(D1130, LEN(D1130)-1),6,2)&lt;13,1.2),_xlfn.IFS(1*MID(LEFT(D1130, LEN(D1130)-1),6,2)&lt;6,1,1*MID(LEFT(D1130, LEN(D1130)-1),6,2)&lt;15,1.2)))</f>
        <v>1</v>
      </c>
      <c r="E1140" s="19"/>
      <c r="F1140" s="190"/>
      <c r="G1140" s="76" t="s">
        <v>47</v>
      </c>
      <c r="H1140" s="104"/>
      <c r="I1140" s="79" t="s">
        <v>46</v>
      </c>
      <c r="J1140" s="77" t="str">
        <f>IF(OR(D1129=0,D1130="　"),"",IF(SUM(D1137:D1138,D1143)=J1139,"OK","NG"))</f>
        <v>OK</v>
      </c>
      <c r="K1140" s="145" t="str">
        <f>IF(J1140&lt;&gt;"NG","──",J1139-SUM(D1137:D1138,D1143))</f>
        <v>──</v>
      </c>
    </row>
    <row r="1141" spans="2:11" ht="12" customHeight="1">
      <c r="B1141" s="22" t="s">
        <v>125</v>
      </c>
      <c r="C1141" s="23" t="s">
        <v>35</v>
      </c>
      <c r="D1141" s="84">
        <f>IF(OR(D1129=0,D1130="　"),"──",0.2)</f>
        <v>0.2</v>
      </c>
      <c r="F1141" s="191" t="s">
        <v>58</v>
      </c>
      <c r="G1141" s="248" t="s">
        <v>110</v>
      </c>
      <c r="H1141" s="249"/>
      <c r="I1141" s="249"/>
      <c r="J1141" s="249"/>
      <c r="K1141" s="250"/>
    </row>
    <row r="1142" spans="2:11" ht="12" customHeight="1">
      <c r="B1142" s="6" t="s">
        <v>147</v>
      </c>
      <c r="C1142" s="23" t="s">
        <v>23</v>
      </c>
      <c r="D1142" s="60">
        <f>IF(OR(D1129=0,D1130="　"),"──",SUM(D1138:D1141))</f>
        <v>9.6999999999999993</v>
      </c>
    </row>
    <row r="1143" spans="2:11" ht="12" customHeight="1">
      <c r="B1143" s="25" t="s">
        <v>127</v>
      </c>
      <c r="C1143" s="26" t="s">
        <v>23</v>
      </c>
      <c r="D1143" s="27">
        <f>IF(OR(D1129=0,D1130="　"),"──",0.25)</f>
        <v>0.25</v>
      </c>
      <c r="F1143" s="8"/>
      <c r="G1143" s="8"/>
      <c r="H1143" s="102"/>
    </row>
    <row r="1144" spans="2:11" ht="12" customHeight="1">
      <c r="B1144" s="95" t="s">
        <v>123</v>
      </c>
      <c r="C1144" s="18" t="s">
        <v>32</v>
      </c>
      <c r="D1144" s="192">
        <v>90</v>
      </c>
      <c r="E1144" s="193" t="str">
        <f>IF(D1144&lt;D1145,"NG：削孔径不適合","")</f>
        <v/>
      </c>
      <c r="F1144" s="8"/>
      <c r="G1144" s="8"/>
      <c r="H1144" s="102"/>
    </row>
    <row r="1145" spans="2:11" ht="12" customHeight="1">
      <c r="B1145" s="25" t="s">
        <v>122</v>
      </c>
      <c r="C1145" s="26" t="s">
        <v>32</v>
      </c>
      <c r="D1145" s="194" cm="1">
        <f t="array" ref="D1145">IF(OR(D1129=0,D1130="　"),"──",IF(D1135="なし",IF(MID(D1130,4,1)="5",_xlfn.IFS(1*MID(LEFT(D1130, LEN(D1130)-1),6,2)&lt;6,90,1*MID(LEFT(D1130, LEN(D1130)-1),6,2)&lt;9,115,1*MID(LEFT(D1130, LEN(D1130)-1),6,2)&gt;8,135),_xlfn.IFS(1*MID(LEFT(D1130, LEN(D1130)-1),6,2)&lt;4,90,1*MID(LEFT(D1130, LEN(D1130)-1),6,2)&lt;7,115,1*MID(LEFT(D1130, LEN(D1130)-1),6,2)&lt;10,135,1*MID(LEFT(D1130, LEN(D1130)-1),6,2)&lt;13,146,1*MID(LEFT(D1130, LEN(D1130)-1),6,2)&gt;12,165)),IF(MID(D1130,4,1)="5",_xlfn.IFS(1*MID(LEFT(D1130, LEN(D1130)-1),6,2)&lt;3,90,1*MID(LEFT(D1130, LEN(D1130)-1),6,2)&lt;7,115,1*MID(LEFT(D1130, LEN(D1130)-1),6,2)&lt;9,135,1*MID(LEFT(D1130, LEN(D1130)-1),6,2)&gt;8,146),_xlfn.IFS(1*MID(LEFT(D1130, LEN(D1130)-1),6,2)&lt;3,90,1*MID(LEFT(D1130, LEN(D1130)-1),6,2)&lt;4,115,1*MID(LEFT(D1130, LEN(D1130)-1),6,2)&lt;6,135,1*MID(LEFT(D1130, LEN(D1130)-1),6,2)&lt;10,146,1*MID(LEFT(D1130, LEN(D1130)-1),6,2)&lt;13,165,1*MID(LEFT(D1130, LEN(D1130)-1),6,2)&gt;12,216))))</f>
        <v>90</v>
      </c>
      <c r="E1145" s="195"/>
      <c r="F1145" s="8"/>
      <c r="G1145" s="8"/>
      <c r="H1145" s="102"/>
    </row>
    <row r="1146" spans="2:11" ht="12" customHeight="1">
      <c r="B1146" s="20"/>
      <c r="C1146" s="46"/>
      <c r="D1146" s="117"/>
      <c r="F1146" s="8"/>
      <c r="G1146" s="8"/>
      <c r="H1146" s="102"/>
    </row>
    <row r="1147" spans="2:11" ht="12" customHeight="1">
      <c r="B1147" s="15" t="str">
        <f>"■"&amp;MID(B1124,2,14)</f>
        <v>■本設：EHDアンカーHP工法</v>
      </c>
      <c r="C1147" s="3"/>
      <c r="D1147" s="1"/>
      <c r="E1147" s="1"/>
      <c r="F1147" s="8"/>
      <c r="G1147" s="8"/>
      <c r="H1147" s="102"/>
    </row>
    <row r="1148" spans="2:11" ht="12" customHeight="1">
      <c r="B1148" s="2" t="s">
        <v>17</v>
      </c>
      <c r="C1148" s="43"/>
      <c r="D1148" s="196" t="s">
        <v>148</v>
      </c>
      <c r="E1148" s="135"/>
      <c r="F1148" s="16"/>
      <c r="G1148" s="61" t="s">
        <v>42</v>
      </c>
      <c r="H1148" s="97"/>
      <c r="I1148" s="2" t="s">
        <v>21</v>
      </c>
      <c r="J1148" s="49" t="s">
        <v>149</v>
      </c>
      <c r="K1148" s="2" t="s">
        <v>28</v>
      </c>
    </row>
    <row r="1149" spans="2:11" ht="12" customHeight="1">
      <c r="B1149" s="197" t="s">
        <v>150</v>
      </c>
      <c r="C1149" s="198" t="str">
        <f>IF(OR(D1129=0,D1130="　"),"",D1130&amp;" ("&amp;MID(LEFT(D1130, LEN(D1130)-1),6,2)&amp;IF(MID(D1130,4,1)="5","φ12.7","φ15.2")&amp;")")</f>
        <v>EHD5-4H (4φ12.7)</v>
      </c>
      <c r="D1149" s="199"/>
      <c r="E1149" s="200"/>
      <c r="F1149" s="201" t="str">
        <f>"W=テンドン長×PC鋼より線本数×"&amp;IF(MID(D1130,4,1)="5","0.774","1.101")&amp;"kg/m"</f>
        <v>W=テンドン長×PC鋼より線本数×0.774kg/m</v>
      </c>
      <c r="G1149" s="202"/>
      <c r="H1149" s="203"/>
      <c r="I1149" s="204" t="s">
        <v>11</v>
      </c>
      <c r="J1149" s="205">
        <f>IF(OR(D1129=0,D1130="　"),"",MROUND(D1142*MID(LEFT(D1130, LEN(D1130)-1),6,2)*IF(MID(D1130,4,1)="5","0.774","1.101"),0.01))</f>
        <v>30.03</v>
      </c>
      <c r="K1149" s="205">
        <f>IFERROR(D1129*J1149,"")</f>
        <v>300.3</v>
      </c>
    </row>
    <row r="1150" spans="2:11" ht="12" customHeight="1">
      <c r="B1150" s="206" t="s">
        <v>151</v>
      </c>
      <c r="C1150" s="207"/>
      <c r="D1150" s="208"/>
      <c r="E1150" s="209"/>
      <c r="F1150" s="210" t="s">
        <v>33</v>
      </c>
      <c r="G1150" s="211"/>
      <c r="H1150" s="212"/>
      <c r="I1150" s="213" t="s">
        <v>12</v>
      </c>
      <c r="J1150" s="214">
        <f>IF(OR(D1129=0,D1130="　"),"",MROUND(D1142,0.1))</f>
        <v>9.7000000000000011</v>
      </c>
      <c r="K1150" s="214">
        <f>IFERROR(D1129*J1150,"")</f>
        <v>97.000000000000014</v>
      </c>
    </row>
    <row r="1151" spans="2:11" ht="12" customHeight="1">
      <c r="B1151" s="206" t="str">
        <f>"頭部キャップ"</f>
        <v>頭部キャップ</v>
      </c>
      <c r="C1151" s="207" t="str" cm="1">
        <f t="array" ref="C1151">IF(OR(D1129=0,D1130="　"),"",IF(MID(D1130,4,1)="5",_xlfn.SWITCH(1*MID(LEFT(D1130, LEN(D1130)-1),6,2),1,"S",2,"S",3,"S",4,"S",5,"M",6,"M",7,"M",8,"L",9,"L",10,"L",11,"L",12,"L"),_xlfn.SWITCH(1*MID(LEFT(D1130, LEN(D1130)-1),6,2),1,"S",2,"S",3,"M",4,"M",5,"L",6,"L",7,"L",8,"LL",9,"LL",10,"LL",11,"LL",12,"LL",13,"LL",14,"LL"))&amp;"型"&amp;D1132&amp;IF(OR(MID(D1132,1,2)="透明",MID(D1132,1,2)="5窓"),"、PC樹脂","")&amp;"、ｱﾙﾐAC4C相当"&amp;_xlfn.IFS(MID(D1131,1,3)="防食Ⅱ","",MID(D1131,5,2)="塩害","、防食：ﾀｹｺｰﾄ処理",MID(D1131,5,2)="酸性","、防食：重防食処理"))</f>
        <v>S型透明キャップ、PC樹脂、ｱﾙﾐAC4C相当</v>
      </c>
      <c r="D1151" s="215"/>
      <c r="E1151" s="216"/>
      <c r="F1151" s="217" t="str">
        <f t="shared" ref="F1151:F1157" si="45">"n=1"</f>
        <v>n=1</v>
      </c>
      <c r="G1151" s="218"/>
      <c r="H1151" s="219"/>
      <c r="I1151" s="213" t="s">
        <v>13</v>
      </c>
      <c r="J1151" s="220" t="str">
        <f>IF(OR(D1129=0,D1130="　"),"",MID(F1151,3,2))</f>
        <v>1</v>
      </c>
      <c r="K1151" s="214">
        <f>IFERROR(D1129*J1151,"")</f>
        <v>10</v>
      </c>
    </row>
    <row r="1152" spans="2:11" ht="12" customHeight="1">
      <c r="B1152" s="206" t="s">
        <v>5</v>
      </c>
      <c r="C1152" s="207" t="str" cm="1">
        <f t="array" ref="C1152">IF(OR(D1129=0,D1130="　"),"",IF(MID(D1130,4,1)="5","G5"&amp;_xlfn.SWITCH(1*MID(LEFT(D1130, LEN(D1130)-1),6,2),1,"01",2,"02",3,"03",4,"04",5,"07",6,"07",7,"07",8,"09",9,"09",10,"12",11,"12",12,"12"),"G6"&amp;_xlfn.SWITCH(1*MID(LEFT(D1130, LEN(D1130)-1),6,2),1,"01",2,"02",3,"03",4,"04",5,"07",6,"07",7,"07",8,"09",9,"09",10,"12",11,"12",12,"12",13,"14",14,"14"))&amp;"、S45C相当"&amp;IF(MID(D1132,1,3)&lt;&gt;"アルミ","、防食：無電解Niめっき",""))</f>
        <v>G504、S45C相当、防食：無電解Niめっき</v>
      </c>
      <c r="D1152" s="208"/>
      <c r="E1152" s="209"/>
      <c r="F1152" s="217" t="str">
        <f t="shared" si="45"/>
        <v>n=1</v>
      </c>
      <c r="G1152" s="218"/>
      <c r="H1152" s="219"/>
      <c r="I1152" s="213" t="s">
        <v>13</v>
      </c>
      <c r="J1152" s="220" t="str">
        <f>IF(OR(D1129=0,D1130="　"),"",MID(F1152,3,2))</f>
        <v>1</v>
      </c>
      <c r="K1152" s="214">
        <f>IFERROR(D1129*J1152,"")</f>
        <v>10</v>
      </c>
    </row>
    <row r="1153" spans="2:11" ht="12" customHeight="1">
      <c r="B1153" s="206" t="s">
        <v>152</v>
      </c>
      <c r="C1153" s="207" t="str" cm="1">
        <f t="array" ref="C1153">IF(OR(D1129=0,D1130="　"),"",IF(MID(D1130,4,1)="5","G5"&amp;_xlfn.SWITCH(1*MID(LEFT(D1130, LEN(D1130)-1),6,2),1,"01",2,"02",3,"03",4,"04",5,"07",6,"07",7,"07",8,"09",9,"09",10,"12",11,"12",12,"12"),"G6"&amp;_xlfn.SWITCH(1*MID(LEFT(D1130, LEN(D1130)-1),6,2),1,"01",2,"02",3,"03",4,"04",5,"07",6,"07",7,"07",8,"09",9,"09",10,"12",11,"12",12,"12",13,"14",14,"14"))&amp;"、S45C相当"&amp;IF(MID(D1132,1,3)&lt;&gt;"アルミ","、防食：無電解Niめっき",""))</f>
        <v>G504、S45C相当、防食：無電解Niめっき</v>
      </c>
      <c r="D1153" s="208"/>
      <c r="E1153" s="209"/>
      <c r="F1153" s="217" t="str">
        <f t="shared" si="45"/>
        <v>n=1</v>
      </c>
      <c r="G1153" s="218"/>
      <c r="H1153" s="219"/>
      <c r="I1153" s="213" t="s">
        <v>13</v>
      </c>
      <c r="J1153" s="220" t="str">
        <f>IF(OR(D1129=0,D1130="　"),"",MID(F1153,3,2))</f>
        <v>1</v>
      </c>
      <c r="K1153" s="214">
        <f>IFERROR(D1129*J1153,"")</f>
        <v>10</v>
      </c>
    </row>
    <row r="1154" spans="2:11" ht="12" customHeight="1">
      <c r="B1154" s="206" t="s">
        <v>7</v>
      </c>
      <c r="C1154" s="207" t="str">
        <f>IF(OR(D1129=0,D1130="　"),"",IF(1*MID(D1130,4,1)=5,"ECF12.7","ECF15.2")&amp;"、SCM415相当"&amp;IF(MID(D1132,1,3)&lt;&gt;"アルミ","、防食：無電解Niめっき",""))</f>
        <v>ECF12.7、SCM415相当、防食：無電解Niめっき</v>
      </c>
      <c r="D1154" s="208"/>
      <c r="E1154" s="209"/>
      <c r="F1154" s="217" t="str">
        <f t="shared" si="45"/>
        <v>n=1</v>
      </c>
      <c r="G1154" s="218"/>
      <c r="H1154" s="219"/>
      <c r="I1154" s="213" t="s">
        <v>27</v>
      </c>
      <c r="J1154" s="220" t="str">
        <f>IF(OR(D1129=0,D1130="　"),"",MID(F1154,3,2))</f>
        <v>1</v>
      </c>
      <c r="K1154" s="214">
        <f>IFERROR(D1129*J1154,"")</f>
        <v>10</v>
      </c>
    </row>
    <row r="1155" spans="2:11" ht="12" customHeight="1">
      <c r="B1155" s="206" t="s">
        <v>153</v>
      </c>
      <c r="C1155" s="207" t="str" cm="1">
        <f t="array" ref="C1155">IF(OR(D1129=0,D1130="　"),"",IF(MID(D1130,4,1)="5","G5"&amp;_xlfn.SWITCH(1*MID(LEFT(D1130, LEN(D1130)-1),6,2),1,"01",2,"04",3,"03",4,"04",5,"07",6,"07",7,"07",8,"12",9,"12",10,"12",11,"12",12,"12"),"G6"&amp;_xlfn.SWITCH(1*MID(LEFT(D1130, LEN(D1130)-1),6,2),1,"01",2,"02",3,"03",4,"04",5,"07",6,"07",7,"07",8,"12",9,"12",10,"12",11,"12",12,"12",13,"14",14,"14"))&amp;"、SS400相当、防食："&amp;_xlfn.IFS(MID(D1131,1,3)="防食Ⅱ","HDZT77めっき",MID(D1131,5,2)="塩害","ｱﾙﾐﾅｲｽﾞ処理",MID(D1131,5,2)="酸性","重防食処理"))</f>
        <v>G504、SS400相当、防食：HDZT77めっき</v>
      </c>
      <c r="D1155" s="208"/>
      <c r="E1155" s="209"/>
      <c r="F1155" s="217" t="str">
        <f t="shared" si="45"/>
        <v>n=1</v>
      </c>
      <c r="G1155" s="218"/>
      <c r="H1155" s="219"/>
      <c r="I1155" s="213" t="s">
        <v>16</v>
      </c>
      <c r="J1155" s="220" t="str">
        <f>IF(OR(D1129=0,D1130="　"),"",MID(F1155,3,2))</f>
        <v>1</v>
      </c>
      <c r="K1155" s="214">
        <f>IFERROR(D1129*J1155,"")</f>
        <v>10</v>
      </c>
    </row>
    <row r="1156" spans="2:11" ht="12" customHeight="1">
      <c r="B1156" s="206" t="str">
        <f>IF(MID(D1133,1,3)="のり面","管付","")&amp;"支圧板"</f>
        <v>管付支圧板</v>
      </c>
      <c r="C1156" s="221" t="str" cm="1">
        <f t="array" ref="C1156">IF(OR(D1129=0,D1130="　"),"","PL"&amp;IF(MID(D1133,1,3)="のり面","P","")&amp;IF(MID(D1130,4,1)="5","5-"&amp;_xlfn.SWITCH(1*MID(LEFT(D1130, LEN(D1130)-1),6,2),1,"1",2,"2",3,"3",4,"4",5,"5",6,"6",7,"7",8,"9",9,"9",10,"10",11,"11",12,"12"),"6-"&amp;_xlfn.SWITCH(1*MID(LEFT(D1130, LEN(D1130)-1),6,2),1,"1",2,"2",3,"3",4,"4",5,"6",6,"6",7,"7",8,"8",9,"9",10,"10",11,"11",12,"12",13,"14",14,"14"))&amp;"、SS400相当、防食："&amp;_xlfn.IFS(MID(D1131,1,3)="防食Ⅱ","HDZT77めっき",MID(D1131,5,2)="塩害","ｱﾙﾐﾅｲｽﾞ処理",MID(D1131,5,2)="酸性","重防食処理"))</f>
        <v>PLP5-4、SS400相当、防食：HDZT77めっき</v>
      </c>
      <c r="D1156" s="208"/>
      <c r="E1156" s="209"/>
      <c r="F1156" s="217" t="str">
        <f t="shared" si="45"/>
        <v>n=1</v>
      </c>
      <c r="G1156" s="218"/>
      <c r="H1156" s="219"/>
      <c r="I1156" s="213" t="s">
        <v>16</v>
      </c>
      <c r="J1156" s="220" t="str">
        <f>IF(OR(D1129=0,D1130="　"),"",MID(F1156,3,2))</f>
        <v>1</v>
      </c>
      <c r="K1156" s="214">
        <f>IFERROR(D1129*J1156,"")</f>
        <v>10</v>
      </c>
    </row>
    <row r="1157" spans="2:11" ht="12" customHeight="1">
      <c r="B1157" s="206" t="s">
        <v>154</v>
      </c>
      <c r="C1157" s="207" t="str">
        <f>IF(OR(D1129=0,D1130="　"),"","G"&amp;MID(LEFT(D1130, LEN(D1130)-1),4,4)&amp;"、NBR45相当")</f>
        <v>G5-4、NBR45相当</v>
      </c>
      <c r="D1157" s="208"/>
      <c r="E1157" s="209"/>
      <c r="F1157" s="217" t="str">
        <f t="shared" si="45"/>
        <v>n=1</v>
      </c>
      <c r="G1157" s="218"/>
      <c r="H1157" s="219"/>
      <c r="I1157" s="213" t="s">
        <v>13</v>
      </c>
      <c r="J1157" s="220" t="str">
        <f>IF(OR(D1129=0,D1130="　"),"",MID(F1157,3,2))</f>
        <v>1</v>
      </c>
      <c r="K1157" s="214">
        <f>IFERROR(D1129*J1157,"")</f>
        <v>10</v>
      </c>
    </row>
    <row r="1158" spans="2:11" ht="12" customHeight="1">
      <c r="B1158" s="206" t="str" cm="1">
        <f t="array" ref="B1158">_xlfn.IFS(OR(D1129=0,D1130="　"),"",MID(D1132,1,3)="アルミ","頭部防錆油",MID(D1132,1,3)&lt;&gt;"アルミ","余長キャップ")</f>
        <v>余長キャップ</v>
      </c>
      <c r="C1158" s="221" t="str" cm="1">
        <f t="array" ref="C1158">_xlfn.IFS(OR(D1129=0,D1130="　"),"",MID(D1132,1,3)="アルミ","PCコートC",MID(D1132,1,3)&lt;&gt;"アルミ","TC"&amp;MID(D1130,4,1)&amp;"、高密度ポチエチレン")</f>
        <v>TC5、高密度ポチエチレン</v>
      </c>
      <c r="D1158" s="208"/>
      <c r="E1158" s="209"/>
      <c r="F1158" s="217" t="str" cm="1">
        <f t="array" ref="F1158">_xlfn.IFS(OR(D1129=0,D1130="　"),"",MID(D1132,1,3)="アルミ","W="&amp;IF(MID(D1130,4,1)="5",_xlfn.SWITCH(1*MID(LEFT(D1130, LEN(D1130)-1),6,2),1,1.9,2,1.3,3,1.3,4,1.3,5,1.6,6,1.6,7,1.6,8,3.1,9,3.1,10,3.1,11,3.1,12,3.1),"G6"&amp;_xlfn.SWITCH(1*MID(LEFT(D1130, LEN(D1130)-1),6,2),1,1.8,2,1.3,3,1.8,4,1.8,5,3.3,6,3.3,7,3.3,8,9.9,9,9.9,10,9.9,11,9.9,12,9.9,13,9.9,14,9.9)),MID(D1132,1,3)&lt;&gt;"アルミ","n=1")</f>
        <v>n=1</v>
      </c>
      <c r="G1158" s="218"/>
      <c r="H1158" s="219"/>
      <c r="I1158" s="213" t="str" cm="1">
        <f t="array" ref="I1158">_xlfn.IFS(OR(D1129=0,D1130="　"),"",MID(D1132,1,3)="アルミ","kg",MID(D1132,1,3)&lt;&gt;"アルミ","式")</f>
        <v>式</v>
      </c>
      <c r="J1158" s="220" t="str">
        <f>IF(OR(D1129=0,D1130="　"),"",MID(F1158,3,4))</f>
        <v>1</v>
      </c>
      <c r="K1158" s="214">
        <f>IFERROR(D1129*J1158,"")</f>
        <v>10</v>
      </c>
    </row>
    <row r="1159" spans="2:11" ht="12" customHeight="1">
      <c r="B1159" s="206" t="s">
        <v>9</v>
      </c>
      <c r="C1159" s="207" t="str" cm="1">
        <f t="array" ref="C1159">IF(OR(D1129=0,D1130="　"),"",IF(MID(D1130,4,1)="5","PS5-"&amp;_xlfn.SWITCH(1*MID(LEFT(D1130, LEN(D1130)-1),6,2),1,"7",2,"2",3,"3",4,"4",5,"7",6,"7",7,"7",8,"12",9,"12",10,"12",11,"12",12,"12"),"PS6-"&amp;_xlfn.SWITCH(1*MID(LEFT(D1130, LEN(D1130)-1),6,2),1,"7",2,"2",3,"3",4,"4",5,"7",6,"7",7,"7",8,"12",9,"12",10,"12",11,"12",12,"12",13,"14",14,"14"))&amp;"、高密度ポリエチレン")</f>
        <v>PS5-4、高密度ポリエチレン</v>
      </c>
      <c r="D1159" s="208"/>
      <c r="E1159" s="209"/>
      <c r="F1159" s="217" t="str">
        <f>"n=2"</f>
        <v>n=2</v>
      </c>
      <c r="G1159" s="218"/>
      <c r="H1159" s="219"/>
      <c r="I1159" s="213" t="s">
        <v>13</v>
      </c>
      <c r="J1159" s="220" t="str">
        <f>IF(OR(D1129=0,D1130="　"),"",MID(F1159,3,2))</f>
        <v>2</v>
      </c>
      <c r="K1159" s="214">
        <f>IFERROR(D1129*J1159,"")</f>
        <v>20</v>
      </c>
    </row>
    <row r="1160" spans="2:11" ht="12" customHeight="1">
      <c r="B1160" s="206" t="s">
        <v>2</v>
      </c>
      <c r="C1160" s="207" t="str" cm="1">
        <f t="array" ref="C1160">IF(OR(D1129=0,D1130="　"),"",IF(MID(D1130,4,1)="5","S5-"&amp;_xlfn.IFS(1*MID(LEFT(D1130, LEN(D1130)-1),6,2)&lt;6,"5",1*MID(LEFT(D1130, LEN(D1130)-1),6,2)&lt;9,"8",1*MID(LEFT(D1130, LEN(D1130)-1),6,2)&gt;8,"12"),"S6-"&amp;_xlfn.IFS(1*MID(LEFT(D1130, LEN(D1130)-1),6,2)&lt;4,"3",1*MID(LEFT(D1130, LEN(D1130)-1),6,2)&lt;7,"6",1*MID(LEFT(D1130, LEN(D1130)-1),6,2)&lt;10,"9",1*MID(LEFT(D1130, LEN(D1130)-1),6,2)&lt;13,"12",1*MID(LEFT(D1130, LEN(D1130)-1),6,2)&gt;12,"14"))&amp;"、ポリプロピレン")</f>
        <v>S5-5、ポリプロピレン</v>
      </c>
      <c r="D1160" s="208"/>
      <c r="E1160" s="209"/>
      <c r="F1160" s="222" t="s">
        <v>155</v>
      </c>
      <c r="G1160" s="211"/>
      <c r="H1160" s="212"/>
      <c r="I1160" s="213" t="s">
        <v>13</v>
      </c>
      <c r="J1160" s="206">
        <f>IF(OR(D1129=0,D1130="　"),"",MROUND((D1138-0.4)/1,1))</f>
        <v>4</v>
      </c>
      <c r="K1160" s="214">
        <f>IFERROR(D1129*J1160,"")</f>
        <v>40</v>
      </c>
    </row>
    <row r="1161" spans="2:11" ht="12" customHeight="1">
      <c r="B1161" s="206" t="s">
        <v>1</v>
      </c>
      <c r="C1161" s="207" t="str" cm="1">
        <f t="array" ref="C1161">IF(OR(D1129=0,D1130="　"),"",IF(MID(D1130,4,1)="5","PC5-"&amp;_xlfn.IFS(1*MID(LEFT(D1130, LEN(D1130)-1),6,2)&lt;5,"4",1*MID(LEFT(D1130, LEN(D1130)-1),6,2)&lt;8,"7",1*MID(LEFT(D1130, LEN(D1130)-1),6,2)&lt;10,"9",1*MID(LEFT(D1130, LEN(D1130)-1),6,2)&gt;9,"12"),"PC6-"&amp;_xlfn.IFS(1*MID(LEFT(D1130, LEN(D1130)-1),6,2)&lt;4,"3",1*MID(LEFT(D1130, LEN(D1130)-1),6,2)&lt;8,"7",1*MID(LEFT(D1130, LEN(D1130)-1),6,2)&lt;13,"12",1*MID(LEFT(D1130, LEN(D1130)-1),6,2)&gt;12,"14"))&amp;"、ポリプロピレン")</f>
        <v>PC5-4、ポリプロピレン</v>
      </c>
      <c r="D1161" s="208"/>
      <c r="E1161" s="209"/>
      <c r="F1161" s="217" t="str">
        <f>"n=1"</f>
        <v>n=1</v>
      </c>
      <c r="G1161" s="218"/>
      <c r="H1161" s="219"/>
      <c r="I1161" s="213" t="s">
        <v>13</v>
      </c>
      <c r="J1161" s="220" t="str">
        <f>IF(OR(D1129=0,D1130="　"),"",MID(F1161,3,2))</f>
        <v>1</v>
      </c>
      <c r="K1161" s="214">
        <f>IFERROR(D1129*J1161,"")</f>
        <v>10</v>
      </c>
    </row>
    <row r="1162" spans="2:11" ht="12" customHeight="1">
      <c r="B1162" s="206" t="s">
        <v>3</v>
      </c>
      <c r="C1162" s="207" t="str">
        <f>IF(OR(D1129=0,D1130="　"),"","66ナイロン")</f>
        <v>66ナイロン</v>
      </c>
      <c r="D1162" s="208"/>
      <c r="E1162" s="209"/>
      <c r="F1162" s="222" t="s">
        <v>156</v>
      </c>
      <c r="G1162" s="211"/>
      <c r="H1162" s="212"/>
      <c r="I1162" s="213" t="s">
        <v>14</v>
      </c>
      <c r="J1162" s="206">
        <f>IF(OR(D1129=0,D1130="　"),"",2*J1160)</f>
        <v>8</v>
      </c>
      <c r="K1162" s="214">
        <f>IFERROR(D1129*J1162,"")</f>
        <v>80</v>
      </c>
    </row>
    <row r="1163" spans="2:11" ht="12" customHeight="1">
      <c r="B1163" s="206" t="s">
        <v>4</v>
      </c>
      <c r="C1163" s="207" t="str">
        <f>IF(OR(D1129=0,D1130="　"),"","フィラメントテープ")</f>
        <v>フィラメントテープ</v>
      </c>
      <c r="D1163" s="208"/>
      <c r="E1163" s="209"/>
      <c r="F1163" s="222" t="str">
        <f>IF(OR(D1129=0,D1130="　"),"","L=((自由長+緊張部長)÷@1.0m)×テープ係数"&amp;IF(MID(D1130,4,1)="5",_xlfn.IFS(1*MID(LEFT(D1130, LEN(D1130)-1),6,2)&lt;4,"0.8",1*MID(LEFT(D1130, LEN(D1130)-1),6,2)&lt;7,"1.0",1*MID(LEFT(D1130, LEN(D1130)-1),6,2)&lt;10,"1.2",1*MID(LEFT(D1130, LEN(D1130)-1),6,2)&lt;13,"1.4"),_xlfn.IFS(1*MID(LEFT(D1130, LEN(D1130)-1),6,2)&lt;4,"1.0",1*MID(LEFT(D1130, LEN(D1130)-1),6,2)&lt;7,"1.2",1*MID(LEFT(D1130, LEN(D1130)-1),6,2)&lt;10,"1.4",1*MID(LEFT(D1130, LEN(D1130)-1),6,2)&lt;15,"1.8")))</f>
        <v>L=((自由長+緊張部長)÷@1.0m)×テープ係数1.0</v>
      </c>
      <c r="G1163" s="211"/>
      <c r="H1163" s="212"/>
      <c r="I1163" s="213" t="s">
        <v>12</v>
      </c>
      <c r="J1163" s="223">
        <f>IF(OR(D1129=0,D1130="　"),"",MROUND((SUM(D1139,D1140))/1*RIGHT(F1163, 3),0.1))</f>
        <v>5.5</v>
      </c>
      <c r="K1163" s="214">
        <f>IFERROR(D1129*J1163,"")</f>
        <v>55</v>
      </c>
    </row>
    <row r="1164" spans="2:11" ht="12" customHeight="1">
      <c r="B1164" s="206" t="s">
        <v>0</v>
      </c>
      <c r="C1164" s="207" t="str">
        <f>IF(OR(D1129=0,D1130="　"),"","16/20、高密度ポリエチレン")</f>
        <v>16/20、高密度ポリエチレン</v>
      </c>
      <c r="D1164" s="208"/>
      <c r="E1164" s="209"/>
      <c r="F1164" s="210" t="s">
        <v>33</v>
      </c>
      <c r="G1164" s="211"/>
      <c r="H1164" s="212"/>
      <c r="I1164" s="213" t="s">
        <v>12</v>
      </c>
      <c r="J1164" s="214">
        <f>IF(OR(D1129=0,D1130="　"),"",MROUND(D1142,0.1))</f>
        <v>9.7000000000000011</v>
      </c>
      <c r="K1164" s="214">
        <f>IFERROR(D1129*J1164,"")</f>
        <v>97.000000000000014</v>
      </c>
    </row>
    <row r="1165" spans="2:11" ht="12" customHeight="1">
      <c r="B1165" s="206" t="str" cm="1">
        <f t="array" ref="B1165">_xlfn.IFS(OR(D1129=0,D1130="　",MID(D1133,1,2)="なし",MID(D1133,1,3)="受圧体"),"",MID(D1133,1,3)="のり面","のり面角度台座",MID(D1133,1,3)="構造物","構造物壁面台座",MID(D1133,1,3)="土留め","土留め台座")</f>
        <v>のり面角度台座</v>
      </c>
      <c r="C1165" s="210" t="str" cm="1">
        <f t="array" ref="C1165">IF(OR(D1129=0,D1130="　",MID(D1133,1,2)="なし",MID(D1133,1,3)="受圧体"),"",_xlfn.IFS(MID(D1133,1,3)="のり面",IF(1*MID(D1130,4,1)=5,_xlfn.IFS(1*MID(LEFT(D1130, LEN(D1130)-1),6,2)&lt;5,"ST140",1*MID(LEFT(D1130, LEN(D1130)-1),6,2)&lt;8,"ST170",1*MID(LEFT(D1130, LEN(D1130)-1),6,2)&lt;13,"ST220"),_xlfn.IFS(1*MID(LEFT(D1130, LEN(D1130)-1),6,2)&lt;4,"ST140",1*MID(LEFT(D1130, LEN(D1130)-1),6,2)&lt;5,"ST170",1*MID(LEFT(D1130, LEN(D1130)-1),6,2)&lt;8,"ST220",1*MID(LEFT(D1130, LEN(D1130)-1),6,2)&lt;15,"非該当"))&amp;"、FCD450相当、防食："&amp;_xlfn.IFS(MID(D1131,1,3)="防食Ⅱ","HDZT77めっき",MID(D1131,5,2)="塩害","ｱﾙﾐﾅｲｽﾞ処理",MID(D1131,5,2)="酸性","重防食処理"),OR(MID(D1133,1,3)="構造物",MID(D1133,1,3)="土留め"),D1130&amp;"用"&amp;IF(OR(MID(D1133,1,3)="構造物",D1134="　"),"",D1134)&amp;"、防食："&amp;_xlfn.IFS(MID(D1131,1,3)="防食Ⅱ","HDZT77めっき",MID(D1131,5,2)="塩害","ｱﾙﾐﾅｲｽﾞ処理",MID(D1131,5,2)="酸性","重防食処理")))</f>
        <v>ST140、FCD450相当、防食：HDZT77めっき</v>
      </c>
      <c r="D1165" s="208"/>
      <c r="E1165" s="209"/>
      <c r="F1165" s="217" t="str">
        <f>IF(OR(D1133="なし",D1133="受圧体のみ"),"","n=1")</f>
        <v>n=1</v>
      </c>
      <c r="G1165" s="218"/>
      <c r="H1165" s="219"/>
      <c r="I1165" s="213" t="str">
        <f>IF(OR(D1129=0,D1130="　",B1165=""),"","台")</f>
        <v>台</v>
      </c>
      <c r="J1165" s="220" t="str">
        <f>IF(OR(D1129=0,D1130="　"),"",MID(F1165,3,2))</f>
        <v>1</v>
      </c>
      <c r="K1165" s="214">
        <f>IFERROR(D1129*J1165,"")</f>
        <v>10</v>
      </c>
    </row>
    <row r="1166" spans="2:11" ht="12" customHeight="1">
      <c r="B1166" s="206" t="str">
        <f>IF(OR(D1129=0,D1130="　",MID(D1133,1,3)&lt;&gt;"のり面"),"","補剛板")</f>
        <v>補剛板</v>
      </c>
      <c r="C1166" s="210" t="str" cm="1">
        <f t="array" ref="C1166">IF(OR(D1129=0,D1130="　",MID(D1133,1,3)&lt;&gt;"のり面"),"",IF(MID(D1130,4,1)="5","□"&amp;_xlfn.SWITCH(1*MID(LEFT(D1130, LEN(D1130)-1),6,2),1,"210φ131t12",2,"210φ131t12",3,"240φ131t12",4,"270φ131t12",5,"280φ143t12",6,"310φ143t16",7,"350φ143t19",8,"350φ180t19",9,"350φ180t19",10,"350φ180t19",11,"350φ180t22",12,"350φ180t22"),"□"&amp;_xlfn.SWITCH(1*MID(LEFT(D1130, LEN(D1130)-1),6,2),1,"210,φ131,t12",2,"240,φ131,t12",3,"270,φ131,t16",4,"300,φ143,t16",5,"350,φ180,t16",6,"350,φ180,t16",7,"350,φ180,t19",8,"400,φ──,t12",9,"400,φ──,t12",10,"400,φ──,t12",11,"400,φ──,t12",12,"400,φ──,t12",13,"400,φ──,t12",14,"400,φ──,t12"))&amp;"、SS400相当、防食："&amp;_xlfn.IFS(MID(D1131,1,3)="防食Ⅱ","HDZT77めっき",MID(D1131,5,2)="塩害","ｱﾙﾐﾅｲｽﾞ処理",MID(D1131,5,2)="酸性","重防食処理"))</f>
        <v>□270φ131t12、SS400相当、防食：HDZT77めっき</v>
      </c>
      <c r="D1166" s="208"/>
      <c r="E1166" s="209"/>
      <c r="F1166" s="217" t="str">
        <f>IF(OR(D1129=0,D1130="　",MID(D1133,1,3)&lt;&gt;"のり面"),"","n=1")</f>
        <v>n=1</v>
      </c>
      <c r="G1166" s="218"/>
      <c r="H1166" s="219"/>
      <c r="I1166" s="213" t="str">
        <f>IF(OR(D1129=0,D1130="　",B1166="",MID(D1133,1,3)&lt;&gt;"のり面"),"","枚")</f>
        <v>枚</v>
      </c>
      <c r="J1166" s="220" t="str">
        <f>IF(OR(D1129=0,D1130="　"),"",MID(F1166,3,2))</f>
        <v>1</v>
      </c>
      <c r="K1166" s="214">
        <f>IFERROR(D1129*J1166,"")</f>
        <v>10</v>
      </c>
    </row>
    <row r="1167" spans="2:11" ht="12" customHeight="1">
      <c r="B1167" s="206" t="str" cm="1">
        <f t="array" ref="B1167">_xlfn.IFS(OR(D1129=0,D1130="　"),"",MID(D1132,1,3)="アルミ","",MID(D1132,1,3)&lt;&gt;"アルミ","テンドン補修用塗料")</f>
        <v>テンドン補修用塗料</v>
      </c>
      <c r="C1167" s="210" t="str" cm="1">
        <f t="array" ref="C1167">_xlfn.IFS(OR(D1129=0,D1130="　"),"",MID(D1132,1,3)="アルミ","",MID(D1132,1,3)&lt;&gt;"アルミ","エポキシ樹脂")</f>
        <v>エポキシ樹脂</v>
      </c>
      <c r="D1167" s="208"/>
      <c r="E1167" s="209"/>
      <c r="F1167" s="217" t="str" cm="1">
        <f t="array" ref="F1167">_xlfn.IFS(OR(D1129=0,D1130="　"),"",MID(D1132,1,3)="アルミ","",MID(D1132,1,3)&lt;&gt;"アルミ","W=PC鋼より線本数×"&amp;IF(MID(D1130,4,1)="5","0.28","0.40"))</f>
        <v>W=PC鋼より線本数×0.28</v>
      </c>
      <c r="G1167" s="218"/>
      <c r="H1167" s="219"/>
      <c r="I1167" s="213" t="str" cm="1">
        <f t="array" ref="I1167">_xlfn.IFS(OR(D1129=0,D1130="　"),"",MID(D1132,1,3)="アルミ","",MID(D1132,1,3)&lt;&gt;"アルミ","g")</f>
        <v>g</v>
      </c>
      <c r="J1167" s="224" cm="1">
        <f t="array" ref="J1167">_xlfn.IFS(OR(D1129=0,D1130="　"),"",MID(D1132,1,3)="アルミ","",MID(D1132,1,3)&lt;&gt;"アルミ",MID(LEFT(D1130, LEN(D1130)-1),6,2)*IF(MID(D1130,4,1)="5",0.28,0.4))</f>
        <v>1.1200000000000001</v>
      </c>
      <c r="K1167" s="214">
        <f>IFERROR(D1129*J1167,"")</f>
        <v>11.200000000000001</v>
      </c>
    </row>
    <row r="1168" spans="2:11" ht="12" customHeight="1">
      <c r="B1168" s="206" t="str" cm="1">
        <f t="array" ref="B1168">_xlfn.IFS(OR(D1129=0,D1130="　"),"",MID(D1132,1,3)="アルミ","",MID(D1132,1,3)&lt;&gt;"アルミ","長期防錆スプレー")</f>
        <v>長期防錆スプレー</v>
      </c>
      <c r="C1168" s="210" t="str" cm="1">
        <f t="array" ref="C1168">_xlfn.IFS(OR(D1129=0,D1130="　"),"",MID(D1132,1,3)="アルミ","",MID(D1132,1,3)&lt;&gt;"アルミ","防錆オイル")</f>
        <v>防錆オイル</v>
      </c>
      <c r="D1168" s="208"/>
      <c r="E1168" s="209"/>
      <c r="F1168" s="217" t="str" cm="1">
        <f t="array" ref="F1168">_xlfn.IFS(OR(D1129=0,D1130="　"),"",MID(D1132,1,3)="アルミ","",MID(D1132,1,3)&lt;&gt;"アルミ","n=0.01×(PC鋼より線本数+"&amp;IF(MID(D1130,4,1)="5","6","12")&amp;")")</f>
        <v>n=0.01×(PC鋼より線本数+6)</v>
      </c>
      <c r="G1168" s="218"/>
      <c r="H1168" s="219"/>
      <c r="I1168" s="213" t="str" cm="1">
        <f t="array" ref="I1168">_xlfn.IFS(OR(D1129=0,D1130="　"),"",MID(D1132,1,3)="アルミ","",MID(D1132,1,3)&lt;&gt;"アルミ","缶")</f>
        <v>缶</v>
      </c>
      <c r="J1168" s="224" cm="1">
        <f t="array" ref="J1168">_xlfn.IFS(OR(D1129=0,D1130="　"),"",MID(D1132,1,3)="アルミ","",MID(D1132,1,3)&lt;&gt;"アルミ",0.01*(MID(LEFT(D1130, LEN(D1130)-1),6,2)+IF(MID(D1130,4,1)="5",6,12)))</f>
        <v>0.1</v>
      </c>
      <c r="K1168" s="214">
        <f>IFERROR(D1129*J1168,"")</f>
        <v>1</v>
      </c>
    </row>
    <row r="1169" spans="2:11" ht="12" customHeight="1">
      <c r="B1169" s="206" t="str">
        <f>IF(OR(D1129=0,D1130="　",D1135="なし"),"","フリーパッカー注入ホース")</f>
        <v/>
      </c>
      <c r="C1169" s="207" t="str">
        <f>IF(OR(D1129=0,D1130="　",B1169=""),"","16/20、高密度ポリエチレン")</f>
        <v/>
      </c>
      <c r="D1169" s="208"/>
      <c r="E1169" s="209"/>
      <c r="F1169" s="210" t="str">
        <f>IF(B1169="","","L=自由長+緊張部長")</f>
        <v/>
      </c>
      <c r="G1169" s="211"/>
      <c r="H1169" s="212"/>
      <c r="I1169" s="213" t="str">
        <f>IF(OR(D1129=0,D1130="　",B1169=""),"","m")</f>
        <v/>
      </c>
      <c r="J1169" s="214" t="str">
        <f>IF(OR(D1129=0,D1130="　"),"",IF(B1169="","",MROUND(D1139+D1140,0.1)))</f>
        <v/>
      </c>
      <c r="K1169" s="214" t="str">
        <f>IFERROR(D1129*J1169,"")</f>
        <v/>
      </c>
    </row>
    <row r="1170" spans="2:11" ht="12" customHeight="1">
      <c r="B1170" s="225" t="str">
        <f>IF(OR(D1129=0,D1130="　",D1135="なし"),"","フリーパッカー")</f>
        <v/>
      </c>
      <c r="C1170" s="217" t="str" cm="1">
        <f t="array" ref="C1170">IF(OR(D1129=0,D1130="　",B1169=""),"",_xlfn.SWITCH(D1144,90,"PA-170",115,"PA-200",135,"PA-240",146,"PA-240",165,"PA-350")&amp;"、織布")</f>
        <v/>
      </c>
      <c r="D1170" s="208"/>
      <c r="E1170" s="209"/>
      <c r="F1170" s="226" t="str">
        <f>IF(B1170="","","L=自由長+0.5m")</f>
        <v/>
      </c>
      <c r="G1170" s="227"/>
      <c r="H1170" s="228"/>
      <c r="I1170" s="213" t="str">
        <f>IF(OR(D1130=0,D1131="　",B1170=""),"","m")</f>
        <v/>
      </c>
      <c r="J1170" s="214" t="str">
        <f>IF(OR(D1129=0,D1130="　"),"",IF(B1170="","",MROUND(D1139+0.5,0.1)))</f>
        <v/>
      </c>
      <c r="K1170" s="214" t="str">
        <f>IFERROR(D1129*J1170,"")</f>
        <v/>
      </c>
    </row>
    <row r="1171" spans="2:11" ht="12" customHeight="1">
      <c r="B1171" s="206" t="str">
        <f>IF(OR(D1129=0,D1130="　",D1135="なし"),"","パッカー取付加工")</f>
        <v/>
      </c>
      <c r="C1171" s="207"/>
      <c r="D1171" s="208"/>
      <c r="E1171" s="209"/>
      <c r="F1171" s="217" t="str">
        <f>IF(B1171="","","n=1")</f>
        <v/>
      </c>
      <c r="G1171" s="218"/>
      <c r="H1171" s="219"/>
      <c r="I1171" s="213" t="str">
        <f>IF(OR(D1131=0,D1132="　",B1171=""),"","式")</f>
        <v/>
      </c>
      <c r="J1171" s="220" t="str">
        <f>IF(OR(D1129=0,D1130="　"),"",MID(F1171,3,2))</f>
        <v/>
      </c>
      <c r="K1171" s="206" t="str">
        <f>IFERROR(D1129*J1171,"")</f>
        <v/>
      </c>
    </row>
    <row r="1172" spans="2:11" ht="12" customHeight="1">
      <c r="B1172" s="229"/>
      <c r="C1172" s="230"/>
      <c r="D1172" s="231"/>
      <c r="E1172" s="232"/>
      <c r="F1172" s="233"/>
      <c r="G1172" s="234"/>
      <c r="H1172" s="235"/>
      <c r="I1172" s="236"/>
      <c r="J1172" s="237"/>
      <c r="K1172" s="229"/>
    </row>
    <row r="1173" spans="2:11" ht="12" customHeight="1">
      <c r="B1173" s="238" t="s">
        <v>30</v>
      </c>
      <c r="C1173" s="239" t="s">
        <v>31</v>
      </c>
      <c r="D1173" s="240"/>
      <c r="E1173" s="241"/>
      <c r="F1173" s="242" t="s">
        <v>157</v>
      </c>
      <c r="G1173" s="243"/>
      <c r="H1173" s="244"/>
      <c r="I1173" s="245" t="s">
        <v>55</v>
      </c>
      <c r="J1173" s="246">
        <f>IFERROR(MROUND(0.25*PI()*(0.001*D1144)^2*(D1137+D1138+D1143)*(1+2.2),0.01),"")</f>
        <v>0.17</v>
      </c>
      <c r="K1173" s="246">
        <f>IFERROR(D1129*J1173,"")</f>
        <v>1.7000000000000002</v>
      </c>
    </row>
    <row r="1175" spans="2:11" ht="12" customHeight="1">
      <c r="B1175" s="247" t="s">
        <v>136</v>
      </c>
      <c r="C1175" s="247"/>
      <c r="D1175" s="247"/>
      <c r="F1175" s="163"/>
      <c r="G1175" s="164"/>
      <c r="H1175" s="164"/>
    </row>
    <row r="1176" spans="2:11" ht="12" customHeight="1">
      <c r="B1176" s="15" t="s">
        <v>111</v>
      </c>
      <c r="C1176" s="15"/>
      <c r="D1176" s="1"/>
      <c r="E1176" s="1"/>
      <c r="H1176" s="119"/>
      <c r="J1176" s="118"/>
    </row>
    <row r="1177" spans="2:11" ht="12" customHeight="1">
      <c r="B1177" s="165" t="s">
        <v>166</v>
      </c>
      <c r="C1177" s="3"/>
      <c r="D1177" s="1"/>
      <c r="E1177" s="1"/>
      <c r="F1177" s="8"/>
      <c r="G1177" s="8"/>
      <c r="H1177" s="102"/>
      <c r="I1177" s="28"/>
      <c r="J1177" s="118"/>
    </row>
    <row r="1178" spans="2:11" ht="12" customHeight="1">
      <c r="B1178" s="15" t="s">
        <v>40</v>
      </c>
      <c r="C1178" s="3"/>
      <c r="D1178" s="1"/>
      <c r="E1178" s="1"/>
      <c r="F1178" s="15" t="s">
        <v>54</v>
      </c>
      <c r="G1178" s="15"/>
      <c r="H1178" s="102"/>
      <c r="I1178" s="28"/>
    </row>
    <row r="1179" spans="2:11" ht="12" customHeight="1">
      <c r="B1179" s="2" t="s">
        <v>53</v>
      </c>
      <c r="C1179" s="2" t="s">
        <v>21</v>
      </c>
      <c r="D1179" s="2" t="s">
        <v>22</v>
      </c>
      <c r="E1179" s="17"/>
      <c r="F1179" s="49" t="s">
        <v>41</v>
      </c>
      <c r="G1179" s="97" t="s">
        <v>59</v>
      </c>
      <c r="H1179" s="49" t="s">
        <v>44</v>
      </c>
      <c r="I1179" s="2" t="s">
        <v>21</v>
      </c>
      <c r="J1179" s="49" t="s">
        <v>138</v>
      </c>
      <c r="K1179" s="2" t="s">
        <v>28</v>
      </c>
    </row>
    <row r="1180" spans="2:11" ht="12" customHeight="1">
      <c r="B1180" s="166" t="s">
        <v>25</v>
      </c>
      <c r="C1180" s="18" t="s">
        <v>24</v>
      </c>
      <c r="D1180" s="167">
        <v>10</v>
      </c>
      <c r="E1180" s="19"/>
      <c r="F1180" s="168" t="s">
        <v>43</v>
      </c>
      <c r="G1180" s="169" t="s">
        <v>113</v>
      </c>
      <c r="H1180" s="88" t="str" cm="1">
        <f t="array" ref="H1180">_xlfn.IFS(AND(F1180&lt;&gt;"非削孔",F1180&lt;&gt;"無設定"),D1195,F1180="非削孔",IF(MID(D1184,1,3)="土留め","非削孔","箱抜き"),F1180="無設定","無設定")</f>
        <v>箱抜き</v>
      </c>
      <c r="I1180" s="23" t="str">
        <f>IF(F1180="無設定","","m")</f>
        <v>m</v>
      </c>
      <c r="J1180" s="170">
        <v>0.5</v>
      </c>
      <c r="K1180" s="30">
        <f>D1180*J1180</f>
        <v>5</v>
      </c>
    </row>
    <row r="1181" spans="2:11" ht="12" customHeight="1">
      <c r="B1181" s="171" t="s">
        <v>37</v>
      </c>
      <c r="C1181" s="50" t="s">
        <v>38</v>
      </c>
      <c r="D1181" s="172" t="s">
        <v>159</v>
      </c>
      <c r="E1181" s="173"/>
      <c r="F1181" s="174" t="s">
        <v>49</v>
      </c>
      <c r="G1181" s="169" t="s">
        <v>114</v>
      </c>
      <c r="H1181" s="88" cm="1">
        <f t="array" ref="H1181">_xlfn.IFS(AND(F1181&lt;&gt;"非削孔",F1181&lt;&gt;"無設定"),D1195,F1181="非削孔","箱抜き",F1181="無設定","無設定")</f>
        <v>90</v>
      </c>
      <c r="I1181" s="23" t="str">
        <f t="shared" ref="I1181:I1189" si="46">IF(F1181="無設定","","m")</f>
        <v>m</v>
      </c>
      <c r="J1181" s="170">
        <v>2.64</v>
      </c>
      <c r="K1181" s="30">
        <f>D1180*J1181</f>
        <v>26.400000000000002</v>
      </c>
    </row>
    <row r="1182" spans="2:11" ht="12" customHeight="1">
      <c r="B1182" s="52" t="s">
        <v>39</v>
      </c>
      <c r="C1182" s="91" t="s">
        <v>38</v>
      </c>
      <c r="D1182" s="175" t="s">
        <v>60</v>
      </c>
      <c r="E1182" s="140"/>
      <c r="F1182" s="174" t="s">
        <v>49</v>
      </c>
      <c r="G1182" s="169" t="s">
        <v>115</v>
      </c>
      <c r="H1182" s="88" cm="1">
        <f t="array" ref="H1182">_xlfn.IFS(AND(F1182&lt;&gt;"非削孔",F1182&lt;&gt;"無設定"),D1195,F1182="非削孔","箱抜き",F1182="無設定","無設定")</f>
        <v>90</v>
      </c>
      <c r="I1182" s="23" t="str">
        <f t="shared" si="46"/>
        <v>m</v>
      </c>
      <c r="J1182" s="170">
        <v>5.36</v>
      </c>
      <c r="K1182" s="30">
        <f>D1180*J1182</f>
        <v>53.6</v>
      </c>
    </row>
    <row r="1183" spans="2:11" ht="12" customHeight="1">
      <c r="B1183" s="147" t="s">
        <v>140</v>
      </c>
      <c r="C1183" s="91" t="s">
        <v>38</v>
      </c>
      <c r="D1183" s="176" t="s">
        <v>141</v>
      </c>
      <c r="E1183" s="141"/>
      <c r="F1183" s="174" t="s">
        <v>48</v>
      </c>
      <c r="G1183" s="169"/>
      <c r="H1183" s="88" t="str" cm="1">
        <f t="array" ref="H1183">_xlfn.IFS(AND(F1183&lt;&gt;"非削孔",F1183&lt;&gt;"無設定"),D1195,F1183="非削孔","箱抜き",F1183="無設定","無設定")</f>
        <v>無設定</v>
      </c>
      <c r="I1183" s="23" t="str">
        <f t="shared" si="46"/>
        <v/>
      </c>
      <c r="J1183" s="170">
        <v>0</v>
      </c>
      <c r="K1183" s="30">
        <f>D1180*J1183</f>
        <v>0</v>
      </c>
    </row>
    <row r="1184" spans="2:11" ht="12" customHeight="1">
      <c r="B1184" s="147" t="s">
        <v>142</v>
      </c>
      <c r="C1184" s="91" t="s">
        <v>38</v>
      </c>
      <c r="D1184" s="177" t="s">
        <v>160</v>
      </c>
      <c r="E1184" s="21"/>
      <c r="F1184" s="174" t="s">
        <v>48</v>
      </c>
      <c r="G1184" s="169"/>
      <c r="H1184" s="88" t="str" cm="1">
        <f t="array" ref="H1184">_xlfn.IFS(AND(F1184&lt;&gt;"非削孔",F1184&lt;&gt;"無設定"),D1195,F1184="非削孔","箱抜き",F1184="無設定","無設定")</f>
        <v>無設定</v>
      </c>
      <c r="I1184" s="23" t="str">
        <f t="shared" si="46"/>
        <v/>
      </c>
      <c r="J1184" s="170">
        <v>0</v>
      </c>
      <c r="K1184" s="30">
        <f>D1180*J1184</f>
        <v>0</v>
      </c>
    </row>
    <row r="1185" spans="2:11" ht="12" customHeight="1">
      <c r="B1185" s="114" t="str">
        <f>IF(MID(D1184,1,3)="土留め",D1184&amp;"の種類","")</f>
        <v/>
      </c>
      <c r="C1185" s="91" t="s">
        <v>38</v>
      </c>
      <c r="D1185" s="178" t="s">
        <v>71</v>
      </c>
      <c r="E1185" s="21"/>
      <c r="F1185" s="174" t="s">
        <v>48</v>
      </c>
      <c r="G1185" s="169"/>
      <c r="H1185" s="88" t="str" cm="1">
        <f t="array" ref="H1185">_xlfn.IFS(AND(F1185&lt;&gt;"非削孔",F1185&lt;&gt;"無設定"),D1195,F1185="非削孔","箱抜き",F1185="無設定","無設定")</f>
        <v>無設定</v>
      </c>
      <c r="I1185" s="23" t="str">
        <f t="shared" si="46"/>
        <v/>
      </c>
      <c r="J1185" s="170">
        <v>0</v>
      </c>
      <c r="K1185" s="30">
        <f>D1180*J1185</f>
        <v>0</v>
      </c>
    </row>
    <row r="1186" spans="2:11" ht="12" customHeight="1">
      <c r="B1186" s="179" t="s">
        <v>50</v>
      </c>
      <c r="C1186" s="180" t="s">
        <v>38</v>
      </c>
      <c r="D1186" s="181" t="s">
        <v>51</v>
      </c>
      <c r="E1186" s="182"/>
      <c r="F1186" s="174" t="s">
        <v>48</v>
      </c>
      <c r="G1186" s="169"/>
      <c r="H1186" s="88" t="str" cm="1">
        <f t="array" ref="H1186">_xlfn.IFS(AND(F1186&lt;&gt;"非削孔",F1186&lt;&gt;"無設定"),D1195,F1186="非削孔","箱抜き",F1186="無設定","無設定")</f>
        <v>無設定</v>
      </c>
      <c r="I1186" s="23" t="str">
        <f t="shared" si="46"/>
        <v/>
      </c>
      <c r="J1186" s="170">
        <v>0</v>
      </c>
      <c r="K1186" s="30">
        <f>D1180*J1186</f>
        <v>0</v>
      </c>
    </row>
    <row r="1187" spans="2:11" ht="12" customHeight="1">
      <c r="B1187" s="160" t="str" cm="1">
        <f t="array" ref="B1187">"頭部自由長"&amp;_xlfn.IFS(MID(D1184,1,2)="なし","",MID(D1184,1,3)="受圧体","(受圧体)",MID(D1184,1,3)="のり面","(角度台座＋受圧体)",MID(D1184,1,3)="構造物","(壁面台座)",MID(D1184,1,3)="土留め","(台座+腹起し)")&amp;"　Lfh"</f>
        <v>頭部自由長(角度台座＋受圧体)　Lfh</v>
      </c>
      <c r="C1187" s="155" t="s">
        <v>23</v>
      </c>
      <c r="D1187" s="183">
        <v>0.5</v>
      </c>
      <c r="E1187" s="21"/>
      <c r="F1187" s="174" t="s">
        <v>144</v>
      </c>
      <c r="G1187" s="169"/>
      <c r="H1187" s="88" cm="1">
        <f t="array" ref="H1187">_xlfn.IFS(AND(F1187&lt;&gt;"非削孔",F1187&lt;&gt;"無設定"),D1195,F1187="非削孔","箱抜き",F1187="無設定","無設定")</f>
        <v>90</v>
      </c>
      <c r="I1187" s="23" t="str">
        <f t="shared" si="46"/>
        <v>m</v>
      </c>
      <c r="J1187" s="170">
        <v>0</v>
      </c>
      <c r="K1187" s="30">
        <f>D1180*J1187</f>
        <v>0</v>
      </c>
    </row>
    <row r="1188" spans="2:11" ht="12" customHeight="1">
      <c r="B1188" s="22" t="s">
        <v>108</v>
      </c>
      <c r="C1188" s="23" t="s">
        <v>23</v>
      </c>
      <c r="D1188" s="184">
        <v>4</v>
      </c>
      <c r="E1188" s="21"/>
      <c r="F1188" s="174" t="s">
        <v>48</v>
      </c>
      <c r="G1188" s="169"/>
      <c r="H1188" s="88" t="str" cm="1">
        <f t="array" ref="H1188">_xlfn.IFS(AND(F1188&lt;&gt;"非削孔",F1188&lt;&gt;"無設定"),D1195,F1188="非削孔","箱抜き",F1188="無設定","無設定")</f>
        <v>無設定</v>
      </c>
      <c r="I1188" s="23" t="str">
        <f t="shared" si="46"/>
        <v/>
      </c>
      <c r="J1188" s="170">
        <v>0</v>
      </c>
      <c r="K1188" s="30">
        <f>D1180*J1188</f>
        <v>0</v>
      </c>
    </row>
    <row r="1189" spans="2:11" ht="12" customHeight="1">
      <c r="B1189" s="157" t="s">
        <v>36</v>
      </c>
      <c r="C1189" s="158" t="s">
        <v>23</v>
      </c>
      <c r="D1189" s="185">
        <v>4</v>
      </c>
      <c r="F1189" s="186" t="str" cm="1">
        <f t="array" ref="F1189">INDEX(F1180:H1188,MATCH("無設定",F1180:F1188,0)-1,MATCH(F1179,F1179:H1179,0))</f>
        <v>軟　岩</v>
      </c>
      <c r="G1189" s="100" t="str" cm="1">
        <f t="array" ref="G1189">INDEX(F1180:H1188,MATCH("無設定",F1180:F1188,0)-1,MATCH(G1179,F1179:H1179,0))&amp;"　(先端長 L2d)"</f>
        <v>風化岩 CL　(先端長 L2d)</v>
      </c>
      <c r="H1189" s="88" cm="1">
        <f t="array" ref="H1189">INDEX(F1180:H1188,MATCH("無設定",F1180:F1188,0)-1,MATCH(H1179,F1179:H1179,0))</f>
        <v>90</v>
      </c>
      <c r="I1189" s="23" t="str">
        <f t="shared" si="46"/>
        <v>m</v>
      </c>
      <c r="J1189" s="98">
        <f>D1194</f>
        <v>0.25</v>
      </c>
      <c r="K1189" s="78">
        <f>IFERROR(D1180*J1189,"")</f>
        <v>2.5</v>
      </c>
    </row>
    <row r="1190" spans="2:11" ht="12" customHeight="1">
      <c r="B1190" s="154" t="s">
        <v>145</v>
      </c>
      <c r="C1190" s="155" t="s">
        <v>23</v>
      </c>
      <c r="D1190" s="187">
        <f>IF(OR(D1180=0,D1181="　"),"──",SUM(D1187:D1188))</f>
        <v>4.5</v>
      </c>
      <c r="E1190" s="19"/>
      <c r="F1190" s="188"/>
      <c r="G1190" s="75" t="s">
        <v>124</v>
      </c>
      <c r="H1190" s="103"/>
      <c r="I1190" s="18" t="s">
        <v>23</v>
      </c>
      <c r="J1190" s="74">
        <f>SUMIFS(J1180:J1189,F1180:F1189,"&lt;&gt;非削孔",F1180:F1189,"&lt;&gt;無設定")</f>
        <v>8.25</v>
      </c>
      <c r="K1190" s="95">
        <f>SUMIFS(K1180:K1189,F1180:F1189,"&lt;&gt;非削孔",F1180:F1189,"&lt;&gt;無設定")</f>
        <v>82.5</v>
      </c>
    </row>
    <row r="1191" spans="2:11" ht="12" customHeight="1">
      <c r="B1191" s="146" t="s">
        <v>146</v>
      </c>
      <c r="C1191" s="23" t="s">
        <v>23</v>
      </c>
      <c r="D1191" s="189" cm="1">
        <f t="array" ref="D1191">IF(OR(D1180=0,D1181="　"),"──",IF(MID(D1181,4,1)="5",_xlfn.IFS(1*MID(LEFT(D1181, LEN(D1181)-1),6,2)&lt;8,1,1*MID(LEFT(D1181, LEN(D1181)-1),6,2)&lt;13,1.2),_xlfn.IFS(1*MID(LEFT(D1181, LEN(D1181)-1),6,2)&lt;6,1,1*MID(LEFT(D1181, LEN(D1181)-1),6,2)&lt;15,1.2)))</f>
        <v>1</v>
      </c>
      <c r="E1191" s="19"/>
      <c r="F1191" s="190"/>
      <c r="G1191" s="76" t="s">
        <v>47</v>
      </c>
      <c r="H1191" s="104"/>
      <c r="I1191" s="79" t="s">
        <v>46</v>
      </c>
      <c r="J1191" s="77" t="str">
        <f>IF(OR(D1180=0,D1181="　"),"",IF(SUM(D1188:D1189,D1194)=J1190,"OK","NG"))</f>
        <v>OK</v>
      </c>
      <c r="K1191" s="145" t="str">
        <f>IF(J1191&lt;&gt;"NG","──",J1190-SUM(D1188:D1189,D1194))</f>
        <v>──</v>
      </c>
    </row>
    <row r="1192" spans="2:11" ht="12" customHeight="1">
      <c r="B1192" s="22" t="s">
        <v>125</v>
      </c>
      <c r="C1192" s="23" t="s">
        <v>35</v>
      </c>
      <c r="D1192" s="84">
        <f>IF(OR(D1180=0,D1181="　"),"──",0.2)</f>
        <v>0.2</v>
      </c>
      <c r="F1192" s="191" t="s">
        <v>58</v>
      </c>
      <c r="G1192" s="248" t="s">
        <v>110</v>
      </c>
      <c r="H1192" s="249"/>
      <c r="I1192" s="249"/>
      <c r="J1192" s="249"/>
      <c r="K1192" s="250"/>
    </row>
    <row r="1193" spans="2:11" ht="12" customHeight="1">
      <c r="B1193" s="6" t="s">
        <v>147</v>
      </c>
      <c r="C1193" s="23" t="s">
        <v>23</v>
      </c>
      <c r="D1193" s="60">
        <f>IF(OR(D1180=0,D1181="　"),"──",SUM(D1189:D1192))</f>
        <v>9.6999999999999993</v>
      </c>
    </row>
    <row r="1194" spans="2:11" ht="12" customHeight="1">
      <c r="B1194" s="25" t="s">
        <v>127</v>
      </c>
      <c r="C1194" s="26" t="s">
        <v>23</v>
      </c>
      <c r="D1194" s="27">
        <f>IF(OR(D1180=0,D1181="　"),"──",0.25)</f>
        <v>0.25</v>
      </c>
      <c r="F1194" s="8"/>
      <c r="G1194" s="8"/>
      <c r="H1194" s="102"/>
    </row>
    <row r="1195" spans="2:11" ht="12" customHeight="1">
      <c r="B1195" s="95" t="s">
        <v>123</v>
      </c>
      <c r="C1195" s="18" t="s">
        <v>32</v>
      </c>
      <c r="D1195" s="192">
        <v>90</v>
      </c>
      <c r="E1195" s="193" t="str">
        <f>IF(D1195&lt;D1196,"NG：削孔径不適合","")</f>
        <v/>
      </c>
      <c r="F1195" s="8"/>
      <c r="G1195" s="8"/>
      <c r="H1195" s="102"/>
    </row>
    <row r="1196" spans="2:11" ht="12" customHeight="1">
      <c r="B1196" s="25" t="s">
        <v>122</v>
      </c>
      <c r="C1196" s="26" t="s">
        <v>32</v>
      </c>
      <c r="D1196" s="194" cm="1">
        <f t="array" ref="D1196">IF(OR(D1180=0,D1181="　"),"──",IF(D1186="なし",IF(MID(D1181,4,1)="5",_xlfn.IFS(1*MID(LEFT(D1181, LEN(D1181)-1),6,2)&lt;6,90,1*MID(LEFT(D1181, LEN(D1181)-1),6,2)&lt;9,115,1*MID(LEFT(D1181, LEN(D1181)-1),6,2)&gt;8,135),_xlfn.IFS(1*MID(LEFT(D1181, LEN(D1181)-1),6,2)&lt;4,90,1*MID(LEFT(D1181, LEN(D1181)-1),6,2)&lt;7,115,1*MID(LEFT(D1181, LEN(D1181)-1),6,2)&lt;10,135,1*MID(LEFT(D1181, LEN(D1181)-1),6,2)&lt;13,146,1*MID(LEFT(D1181, LEN(D1181)-1),6,2)&gt;12,165)),IF(MID(D1181,4,1)="5",_xlfn.IFS(1*MID(LEFT(D1181, LEN(D1181)-1),6,2)&lt;3,90,1*MID(LEFT(D1181, LEN(D1181)-1),6,2)&lt;7,115,1*MID(LEFT(D1181, LEN(D1181)-1),6,2)&lt;9,135,1*MID(LEFT(D1181, LEN(D1181)-1),6,2)&gt;8,146),_xlfn.IFS(1*MID(LEFT(D1181, LEN(D1181)-1),6,2)&lt;3,90,1*MID(LEFT(D1181, LEN(D1181)-1),6,2)&lt;4,115,1*MID(LEFT(D1181, LEN(D1181)-1),6,2)&lt;6,135,1*MID(LEFT(D1181, LEN(D1181)-1),6,2)&lt;10,146,1*MID(LEFT(D1181, LEN(D1181)-1),6,2)&lt;13,165,1*MID(LEFT(D1181, LEN(D1181)-1),6,2)&gt;12,216))))</f>
        <v>90</v>
      </c>
      <c r="E1196" s="195"/>
      <c r="F1196" s="8"/>
      <c r="G1196" s="8"/>
      <c r="H1196" s="102"/>
    </row>
    <row r="1197" spans="2:11" ht="12" customHeight="1">
      <c r="B1197" s="20"/>
      <c r="C1197" s="46"/>
      <c r="D1197" s="117"/>
      <c r="F1197" s="8"/>
      <c r="G1197" s="8"/>
      <c r="H1197" s="102"/>
    </row>
    <row r="1198" spans="2:11" ht="12" customHeight="1">
      <c r="B1198" s="15" t="str">
        <f>"■"&amp;MID(B1175,2,14)</f>
        <v>■本設：EHDアンカーHP工法</v>
      </c>
      <c r="C1198" s="3"/>
      <c r="D1198" s="1"/>
      <c r="E1198" s="1"/>
      <c r="F1198" s="8"/>
      <c r="G1198" s="8"/>
      <c r="H1198" s="102"/>
    </row>
    <row r="1199" spans="2:11" ht="12" customHeight="1">
      <c r="B1199" s="2" t="s">
        <v>17</v>
      </c>
      <c r="C1199" s="43"/>
      <c r="D1199" s="196" t="s">
        <v>148</v>
      </c>
      <c r="E1199" s="135"/>
      <c r="F1199" s="16"/>
      <c r="G1199" s="61" t="s">
        <v>42</v>
      </c>
      <c r="H1199" s="97"/>
      <c r="I1199" s="2" t="s">
        <v>21</v>
      </c>
      <c r="J1199" s="49" t="s">
        <v>149</v>
      </c>
      <c r="K1199" s="2" t="s">
        <v>28</v>
      </c>
    </row>
    <row r="1200" spans="2:11" ht="12" customHeight="1">
      <c r="B1200" s="197" t="s">
        <v>150</v>
      </c>
      <c r="C1200" s="198" t="str">
        <f>IF(OR(D1180=0,D1181="　"),"",D1181&amp;" ("&amp;MID(LEFT(D1181, LEN(D1181)-1),6,2)&amp;IF(MID(D1181,4,1)="5","φ12.7","φ15.2")&amp;")")</f>
        <v>EHD5-4H (4φ12.7)</v>
      </c>
      <c r="D1200" s="199"/>
      <c r="E1200" s="200"/>
      <c r="F1200" s="201" t="str">
        <f>"W=テンドン長×PC鋼より線本数×"&amp;IF(MID(D1181,4,1)="5","0.774","1.101")&amp;"kg/m"</f>
        <v>W=テンドン長×PC鋼より線本数×0.774kg/m</v>
      </c>
      <c r="G1200" s="202"/>
      <c r="H1200" s="203"/>
      <c r="I1200" s="204" t="s">
        <v>11</v>
      </c>
      <c r="J1200" s="205">
        <f>IF(OR(D1180=0,D1181="　"),"",MROUND(D1193*MID(LEFT(D1181, LEN(D1181)-1),6,2)*IF(MID(D1181,4,1)="5","0.774","1.101"),0.01))</f>
        <v>30.03</v>
      </c>
      <c r="K1200" s="205">
        <f>IFERROR(D1180*J1200,"")</f>
        <v>300.3</v>
      </c>
    </row>
    <row r="1201" spans="2:11" ht="12" customHeight="1">
      <c r="B1201" s="206" t="s">
        <v>151</v>
      </c>
      <c r="C1201" s="207"/>
      <c r="D1201" s="208"/>
      <c r="E1201" s="209"/>
      <c r="F1201" s="210" t="s">
        <v>33</v>
      </c>
      <c r="G1201" s="211"/>
      <c r="H1201" s="212"/>
      <c r="I1201" s="213" t="s">
        <v>12</v>
      </c>
      <c r="J1201" s="214">
        <f>IF(OR(D1180=0,D1181="　"),"",MROUND(D1193,0.1))</f>
        <v>9.7000000000000011</v>
      </c>
      <c r="K1201" s="214">
        <f>IFERROR(D1180*J1201,"")</f>
        <v>97.000000000000014</v>
      </c>
    </row>
    <row r="1202" spans="2:11" ht="12" customHeight="1">
      <c r="B1202" s="206" t="str">
        <f>"頭部キャップ"</f>
        <v>頭部キャップ</v>
      </c>
      <c r="C1202" s="207" t="str" cm="1">
        <f t="array" ref="C1202">IF(OR(D1180=0,D1181="　"),"",IF(MID(D1181,4,1)="5",_xlfn.SWITCH(1*MID(LEFT(D1181, LEN(D1181)-1),6,2),1,"S",2,"S",3,"S",4,"S",5,"M",6,"M",7,"M",8,"L",9,"L",10,"L",11,"L",12,"L"),_xlfn.SWITCH(1*MID(LEFT(D1181, LEN(D1181)-1),6,2),1,"S",2,"S",3,"M",4,"M",5,"L",6,"L",7,"L",8,"LL",9,"LL",10,"LL",11,"LL",12,"LL",13,"LL",14,"LL"))&amp;"型"&amp;D1183&amp;IF(OR(MID(D1183,1,2)="透明",MID(D1183,1,2)="5窓"),"、PC樹脂","")&amp;"、ｱﾙﾐAC4C相当"&amp;_xlfn.IFS(MID(D1182,1,3)="防食Ⅱ","",MID(D1182,5,2)="塩害","、防食：ﾀｹｺｰﾄ処理",MID(D1182,5,2)="酸性","、防食：重防食処理"))</f>
        <v>S型透明キャップ、PC樹脂、ｱﾙﾐAC4C相当</v>
      </c>
      <c r="D1202" s="215"/>
      <c r="E1202" s="216"/>
      <c r="F1202" s="217" t="str">
        <f t="shared" ref="F1202:F1208" si="47">"n=1"</f>
        <v>n=1</v>
      </c>
      <c r="G1202" s="218"/>
      <c r="H1202" s="219"/>
      <c r="I1202" s="213" t="s">
        <v>13</v>
      </c>
      <c r="J1202" s="220" t="str">
        <f>IF(OR(D1180=0,D1181="　"),"",MID(F1202,3,2))</f>
        <v>1</v>
      </c>
      <c r="K1202" s="214">
        <f>IFERROR(D1180*J1202,"")</f>
        <v>10</v>
      </c>
    </row>
    <row r="1203" spans="2:11" ht="12" customHeight="1">
      <c r="B1203" s="206" t="s">
        <v>5</v>
      </c>
      <c r="C1203" s="207" t="str" cm="1">
        <f t="array" ref="C1203">IF(OR(D1180=0,D1181="　"),"",IF(MID(D1181,4,1)="5","G5"&amp;_xlfn.SWITCH(1*MID(LEFT(D1181, LEN(D1181)-1),6,2),1,"01",2,"02",3,"03",4,"04",5,"07",6,"07",7,"07",8,"09",9,"09",10,"12",11,"12",12,"12"),"G6"&amp;_xlfn.SWITCH(1*MID(LEFT(D1181, LEN(D1181)-1),6,2),1,"01",2,"02",3,"03",4,"04",5,"07",6,"07",7,"07",8,"09",9,"09",10,"12",11,"12",12,"12",13,"14",14,"14"))&amp;"、S45C相当"&amp;IF(MID(D1183,1,3)&lt;&gt;"アルミ","、防食：無電解Niめっき",""))</f>
        <v>G504、S45C相当、防食：無電解Niめっき</v>
      </c>
      <c r="D1203" s="208"/>
      <c r="E1203" s="209"/>
      <c r="F1203" s="217" t="str">
        <f t="shared" si="47"/>
        <v>n=1</v>
      </c>
      <c r="G1203" s="218"/>
      <c r="H1203" s="219"/>
      <c r="I1203" s="213" t="s">
        <v>13</v>
      </c>
      <c r="J1203" s="220" t="str">
        <f>IF(OR(D1180=0,D1181="　"),"",MID(F1203,3,2))</f>
        <v>1</v>
      </c>
      <c r="K1203" s="214">
        <f>IFERROR(D1180*J1203,"")</f>
        <v>10</v>
      </c>
    </row>
    <row r="1204" spans="2:11" ht="12" customHeight="1">
      <c r="B1204" s="206" t="s">
        <v>152</v>
      </c>
      <c r="C1204" s="207" t="str" cm="1">
        <f t="array" ref="C1204">IF(OR(D1180=0,D1181="　"),"",IF(MID(D1181,4,1)="5","G5"&amp;_xlfn.SWITCH(1*MID(LEFT(D1181, LEN(D1181)-1),6,2),1,"01",2,"02",3,"03",4,"04",5,"07",6,"07",7,"07",8,"09",9,"09",10,"12",11,"12",12,"12"),"G6"&amp;_xlfn.SWITCH(1*MID(LEFT(D1181, LEN(D1181)-1),6,2),1,"01",2,"02",3,"03",4,"04",5,"07",6,"07",7,"07",8,"09",9,"09",10,"12",11,"12",12,"12",13,"14",14,"14"))&amp;"、S45C相当"&amp;IF(MID(D1183,1,3)&lt;&gt;"アルミ","、防食：無電解Niめっき",""))</f>
        <v>G504、S45C相当、防食：無電解Niめっき</v>
      </c>
      <c r="D1204" s="208"/>
      <c r="E1204" s="209"/>
      <c r="F1204" s="217" t="str">
        <f t="shared" si="47"/>
        <v>n=1</v>
      </c>
      <c r="G1204" s="218"/>
      <c r="H1204" s="219"/>
      <c r="I1204" s="213" t="s">
        <v>13</v>
      </c>
      <c r="J1204" s="220" t="str">
        <f>IF(OR(D1180=0,D1181="　"),"",MID(F1204,3,2))</f>
        <v>1</v>
      </c>
      <c r="K1204" s="214">
        <f>IFERROR(D1180*J1204,"")</f>
        <v>10</v>
      </c>
    </row>
    <row r="1205" spans="2:11" ht="12" customHeight="1">
      <c r="B1205" s="206" t="s">
        <v>7</v>
      </c>
      <c r="C1205" s="207" t="str">
        <f>IF(OR(D1180=0,D1181="　"),"",IF(1*MID(D1181,4,1)=5,"ECF12.7","ECF15.2")&amp;"、SCM415相当"&amp;IF(MID(D1183,1,3)&lt;&gt;"アルミ","、防食：無電解Niめっき",""))</f>
        <v>ECF12.7、SCM415相当、防食：無電解Niめっき</v>
      </c>
      <c r="D1205" s="208"/>
      <c r="E1205" s="209"/>
      <c r="F1205" s="217" t="str">
        <f t="shared" si="47"/>
        <v>n=1</v>
      </c>
      <c r="G1205" s="218"/>
      <c r="H1205" s="219"/>
      <c r="I1205" s="213" t="s">
        <v>27</v>
      </c>
      <c r="J1205" s="220" t="str">
        <f>IF(OR(D1180=0,D1181="　"),"",MID(F1205,3,2))</f>
        <v>1</v>
      </c>
      <c r="K1205" s="214">
        <f>IFERROR(D1180*J1205,"")</f>
        <v>10</v>
      </c>
    </row>
    <row r="1206" spans="2:11" ht="12" customHeight="1">
      <c r="B1206" s="206" t="s">
        <v>153</v>
      </c>
      <c r="C1206" s="207" t="str" cm="1">
        <f t="array" ref="C1206">IF(OR(D1180=0,D1181="　"),"",IF(MID(D1181,4,1)="5","G5"&amp;_xlfn.SWITCH(1*MID(LEFT(D1181, LEN(D1181)-1),6,2),1,"01",2,"04",3,"03",4,"04",5,"07",6,"07",7,"07",8,"12",9,"12",10,"12",11,"12",12,"12"),"G6"&amp;_xlfn.SWITCH(1*MID(LEFT(D1181, LEN(D1181)-1),6,2),1,"01",2,"02",3,"03",4,"04",5,"07",6,"07",7,"07",8,"12",9,"12",10,"12",11,"12",12,"12",13,"14",14,"14"))&amp;"、SS400相当、防食："&amp;_xlfn.IFS(MID(D1182,1,3)="防食Ⅱ","HDZT77めっき",MID(D1182,5,2)="塩害","ｱﾙﾐﾅｲｽﾞ処理",MID(D1182,5,2)="酸性","重防食処理"))</f>
        <v>G504、SS400相当、防食：HDZT77めっき</v>
      </c>
      <c r="D1206" s="208"/>
      <c r="E1206" s="209"/>
      <c r="F1206" s="217" t="str">
        <f t="shared" si="47"/>
        <v>n=1</v>
      </c>
      <c r="G1206" s="218"/>
      <c r="H1206" s="219"/>
      <c r="I1206" s="213" t="s">
        <v>16</v>
      </c>
      <c r="J1206" s="220" t="str">
        <f>IF(OR(D1180=0,D1181="　"),"",MID(F1206,3,2))</f>
        <v>1</v>
      </c>
      <c r="K1206" s="214">
        <f>IFERROR(D1180*J1206,"")</f>
        <v>10</v>
      </c>
    </row>
    <row r="1207" spans="2:11" ht="12" customHeight="1">
      <c r="B1207" s="206" t="str">
        <f>IF(MID(D1184,1,3)="のり面","管付","")&amp;"支圧板"</f>
        <v>管付支圧板</v>
      </c>
      <c r="C1207" s="221" t="str" cm="1">
        <f t="array" ref="C1207">IF(OR(D1180=0,D1181="　"),"","PL"&amp;IF(MID(D1184,1,3)="のり面","P","")&amp;IF(MID(D1181,4,1)="5","5-"&amp;_xlfn.SWITCH(1*MID(LEFT(D1181, LEN(D1181)-1),6,2),1,"1",2,"2",3,"3",4,"4",5,"5",6,"6",7,"7",8,"9",9,"9",10,"10",11,"11",12,"12"),"6-"&amp;_xlfn.SWITCH(1*MID(LEFT(D1181, LEN(D1181)-1),6,2),1,"1",2,"2",3,"3",4,"4",5,"6",6,"6",7,"7",8,"8",9,"9",10,"10",11,"11",12,"12",13,"14",14,"14"))&amp;"、SS400相当、防食："&amp;_xlfn.IFS(MID(D1182,1,3)="防食Ⅱ","HDZT77めっき",MID(D1182,5,2)="塩害","ｱﾙﾐﾅｲｽﾞ処理",MID(D1182,5,2)="酸性","重防食処理"))</f>
        <v>PLP5-4、SS400相当、防食：HDZT77めっき</v>
      </c>
      <c r="D1207" s="208"/>
      <c r="E1207" s="209"/>
      <c r="F1207" s="217" t="str">
        <f t="shared" si="47"/>
        <v>n=1</v>
      </c>
      <c r="G1207" s="218"/>
      <c r="H1207" s="219"/>
      <c r="I1207" s="213" t="s">
        <v>16</v>
      </c>
      <c r="J1207" s="220" t="str">
        <f>IF(OR(D1180=0,D1181="　"),"",MID(F1207,3,2))</f>
        <v>1</v>
      </c>
      <c r="K1207" s="214">
        <f>IFERROR(D1180*J1207,"")</f>
        <v>10</v>
      </c>
    </row>
    <row r="1208" spans="2:11" ht="12" customHeight="1">
      <c r="B1208" s="206" t="s">
        <v>154</v>
      </c>
      <c r="C1208" s="207" t="str">
        <f>IF(OR(D1180=0,D1181="　"),"","G"&amp;MID(LEFT(D1181, LEN(D1181)-1),4,4)&amp;"、NBR45相当")</f>
        <v>G5-4、NBR45相当</v>
      </c>
      <c r="D1208" s="208"/>
      <c r="E1208" s="209"/>
      <c r="F1208" s="217" t="str">
        <f t="shared" si="47"/>
        <v>n=1</v>
      </c>
      <c r="G1208" s="218"/>
      <c r="H1208" s="219"/>
      <c r="I1208" s="213" t="s">
        <v>13</v>
      </c>
      <c r="J1208" s="220" t="str">
        <f>IF(OR(D1180=0,D1181="　"),"",MID(F1208,3,2))</f>
        <v>1</v>
      </c>
      <c r="K1208" s="214">
        <f>IFERROR(D1180*J1208,"")</f>
        <v>10</v>
      </c>
    </row>
    <row r="1209" spans="2:11" ht="12" customHeight="1">
      <c r="B1209" s="206" t="str" cm="1">
        <f t="array" ref="B1209">_xlfn.IFS(OR(D1180=0,D1181="　"),"",MID(D1183,1,3)="アルミ","頭部防錆油",MID(D1183,1,3)&lt;&gt;"アルミ","余長キャップ")</f>
        <v>余長キャップ</v>
      </c>
      <c r="C1209" s="221" t="str" cm="1">
        <f t="array" ref="C1209">_xlfn.IFS(OR(D1180=0,D1181="　"),"",MID(D1183,1,3)="アルミ","PCコートC",MID(D1183,1,3)&lt;&gt;"アルミ","TC"&amp;MID(D1181,4,1)&amp;"、高密度ポチエチレン")</f>
        <v>TC5、高密度ポチエチレン</v>
      </c>
      <c r="D1209" s="208"/>
      <c r="E1209" s="209"/>
      <c r="F1209" s="217" t="str" cm="1">
        <f t="array" ref="F1209">_xlfn.IFS(OR(D1180=0,D1181="　"),"",MID(D1183,1,3)="アルミ","W="&amp;IF(MID(D1181,4,1)="5",_xlfn.SWITCH(1*MID(LEFT(D1181, LEN(D1181)-1),6,2),1,1.9,2,1.3,3,1.3,4,1.3,5,1.6,6,1.6,7,1.6,8,3.1,9,3.1,10,3.1,11,3.1,12,3.1),"G6"&amp;_xlfn.SWITCH(1*MID(LEFT(D1181, LEN(D1181)-1),6,2),1,1.8,2,1.3,3,1.8,4,1.8,5,3.3,6,3.3,7,3.3,8,9.9,9,9.9,10,9.9,11,9.9,12,9.9,13,9.9,14,9.9)),MID(D1183,1,3)&lt;&gt;"アルミ","n=1")</f>
        <v>n=1</v>
      </c>
      <c r="G1209" s="218"/>
      <c r="H1209" s="219"/>
      <c r="I1209" s="213" t="str" cm="1">
        <f t="array" ref="I1209">_xlfn.IFS(OR(D1180=0,D1181="　"),"",MID(D1183,1,3)="アルミ","kg",MID(D1183,1,3)&lt;&gt;"アルミ","式")</f>
        <v>式</v>
      </c>
      <c r="J1209" s="220" t="str">
        <f>IF(OR(D1180=0,D1181="　"),"",MID(F1209,3,4))</f>
        <v>1</v>
      </c>
      <c r="K1209" s="214">
        <f>IFERROR(D1180*J1209,"")</f>
        <v>10</v>
      </c>
    </row>
    <row r="1210" spans="2:11" ht="12" customHeight="1">
      <c r="B1210" s="206" t="s">
        <v>9</v>
      </c>
      <c r="C1210" s="207" t="str" cm="1">
        <f t="array" ref="C1210">IF(OR(D1180=0,D1181="　"),"",IF(MID(D1181,4,1)="5","PS5-"&amp;_xlfn.SWITCH(1*MID(LEFT(D1181, LEN(D1181)-1),6,2),1,"7",2,"2",3,"3",4,"4",5,"7",6,"7",7,"7",8,"12",9,"12",10,"12",11,"12",12,"12"),"PS6-"&amp;_xlfn.SWITCH(1*MID(LEFT(D1181, LEN(D1181)-1),6,2),1,"7",2,"2",3,"3",4,"4",5,"7",6,"7",7,"7",8,"12",9,"12",10,"12",11,"12",12,"12",13,"14",14,"14"))&amp;"、高密度ポリエチレン")</f>
        <v>PS5-4、高密度ポリエチレン</v>
      </c>
      <c r="D1210" s="208"/>
      <c r="E1210" s="209"/>
      <c r="F1210" s="217" t="str">
        <f>"n=2"</f>
        <v>n=2</v>
      </c>
      <c r="G1210" s="218"/>
      <c r="H1210" s="219"/>
      <c r="I1210" s="213" t="s">
        <v>13</v>
      </c>
      <c r="J1210" s="220" t="str">
        <f>IF(OR(D1180=0,D1181="　"),"",MID(F1210,3,2))</f>
        <v>2</v>
      </c>
      <c r="K1210" s="214">
        <f>IFERROR(D1180*J1210,"")</f>
        <v>20</v>
      </c>
    </row>
    <row r="1211" spans="2:11" ht="12" customHeight="1">
      <c r="B1211" s="206" t="s">
        <v>2</v>
      </c>
      <c r="C1211" s="207" t="str" cm="1">
        <f t="array" ref="C1211">IF(OR(D1180=0,D1181="　"),"",IF(MID(D1181,4,1)="5","S5-"&amp;_xlfn.IFS(1*MID(LEFT(D1181, LEN(D1181)-1),6,2)&lt;6,"5",1*MID(LEFT(D1181, LEN(D1181)-1),6,2)&lt;9,"8",1*MID(LEFT(D1181, LEN(D1181)-1),6,2)&gt;8,"12"),"S6-"&amp;_xlfn.IFS(1*MID(LEFT(D1181, LEN(D1181)-1),6,2)&lt;4,"3",1*MID(LEFT(D1181, LEN(D1181)-1),6,2)&lt;7,"6",1*MID(LEFT(D1181, LEN(D1181)-1),6,2)&lt;10,"9",1*MID(LEFT(D1181, LEN(D1181)-1),6,2)&lt;13,"12",1*MID(LEFT(D1181, LEN(D1181)-1),6,2)&gt;12,"14"))&amp;"、ポリプロピレン")</f>
        <v>S5-5、ポリプロピレン</v>
      </c>
      <c r="D1211" s="208"/>
      <c r="E1211" s="209"/>
      <c r="F1211" s="222" t="s">
        <v>155</v>
      </c>
      <c r="G1211" s="211"/>
      <c r="H1211" s="212"/>
      <c r="I1211" s="213" t="s">
        <v>13</v>
      </c>
      <c r="J1211" s="206">
        <f>IF(OR(D1180=0,D1181="　"),"",MROUND((D1189-0.4)/1,1))</f>
        <v>4</v>
      </c>
      <c r="K1211" s="214">
        <f>IFERROR(D1180*J1211,"")</f>
        <v>40</v>
      </c>
    </row>
    <row r="1212" spans="2:11" ht="12" customHeight="1">
      <c r="B1212" s="206" t="s">
        <v>1</v>
      </c>
      <c r="C1212" s="207" t="str" cm="1">
        <f t="array" ref="C1212">IF(OR(D1180=0,D1181="　"),"",IF(MID(D1181,4,1)="5","PC5-"&amp;_xlfn.IFS(1*MID(LEFT(D1181, LEN(D1181)-1),6,2)&lt;5,"4",1*MID(LEFT(D1181, LEN(D1181)-1),6,2)&lt;8,"7",1*MID(LEFT(D1181, LEN(D1181)-1),6,2)&lt;10,"9",1*MID(LEFT(D1181, LEN(D1181)-1),6,2)&gt;9,"12"),"PC6-"&amp;_xlfn.IFS(1*MID(LEFT(D1181, LEN(D1181)-1),6,2)&lt;4,"3",1*MID(LEFT(D1181, LEN(D1181)-1),6,2)&lt;8,"7",1*MID(LEFT(D1181, LEN(D1181)-1),6,2)&lt;13,"12",1*MID(LEFT(D1181, LEN(D1181)-1),6,2)&gt;12,"14"))&amp;"、ポリプロピレン")</f>
        <v>PC5-4、ポリプロピレン</v>
      </c>
      <c r="D1212" s="208"/>
      <c r="E1212" s="209"/>
      <c r="F1212" s="217" t="str">
        <f>"n=1"</f>
        <v>n=1</v>
      </c>
      <c r="G1212" s="218"/>
      <c r="H1212" s="219"/>
      <c r="I1212" s="213" t="s">
        <v>13</v>
      </c>
      <c r="J1212" s="220" t="str">
        <f>IF(OR(D1180=0,D1181="　"),"",MID(F1212,3,2))</f>
        <v>1</v>
      </c>
      <c r="K1212" s="214">
        <f>IFERROR(D1180*J1212,"")</f>
        <v>10</v>
      </c>
    </row>
    <row r="1213" spans="2:11" ht="12" customHeight="1">
      <c r="B1213" s="206" t="s">
        <v>3</v>
      </c>
      <c r="C1213" s="207" t="str">
        <f>IF(OR(D1180=0,D1181="　"),"","66ナイロン")</f>
        <v>66ナイロン</v>
      </c>
      <c r="D1213" s="208"/>
      <c r="E1213" s="209"/>
      <c r="F1213" s="222" t="s">
        <v>156</v>
      </c>
      <c r="G1213" s="211"/>
      <c r="H1213" s="212"/>
      <c r="I1213" s="213" t="s">
        <v>14</v>
      </c>
      <c r="J1213" s="206">
        <f>IF(OR(D1180=0,D1181="　"),"",2*J1211)</f>
        <v>8</v>
      </c>
      <c r="K1213" s="214">
        <f>IFERROR(D1180*J1213,"")</f>
        <v>80</v>
      </c>
    </row>
    <row r="1214" spans="2:11" ht="12" customHeight="1">
      <c r="B1214" s="206" t="s">
        <v>4</v>
      </c>
      <c r="C1214" s="207" t="str">
        <f>IF(OR(D1180=0,D1181="　"),"","フィラメントテープ")</f>
        <v>フィラメントテープ</v>
      </c>
      <c r="D1214" s="208"/>
      <c r="E1214" s="209"/>
      <c r="F1214" s="222" t="str">
        <f>IF(OR(D1180=0,D1181="　"),"","L=((自由長+緊張部長)÷@1.0m)×テープ係数"&amp;IF(MID(D1181,4,1)="5",_xlfn.IFS(1*MID(LEFT(D1181, LEN(D1181)-1),6,2)&lt;4,"0.8",1*MID(LEFT(D1181, LEN(D1181)-1),6,2)&lt;7,"1.0",1*MID(LEFT(D1181, LEN(D1181)-1),6,2)&lt;10,"1.2",1*MID(LEFT(D1181, LEN(D1181)-1),6,2)&lt;13,"1.4"),_xlfn.IFS(1*MID(LEFT(D1181, LEN(D1181)-1),6,2)&lt;4,"1.0",1*MID(LEFT(D1181, LEN(D1181)-1),6,2)&lt;7,"1.2",1*MID(LEFT(D1181, LEN(D1181)-1),6,2)&lt;10,"1.4",1*MID(LEFT(D1181, LEN(D1181)-1),6,2)&lt;15,"1.8")))</f>
        <v>L=((自由長+緊張部長)÷@1.0m)×テープ係数1.0</v>
      </c>
      <c r="G1214" s="211"/>
      <c r="H1214" s="212"/>
      <c r="I1214" s="213" t="s">
        <v>12</v>
      </c>
      <c r="J1214" s="223">
        <f>IF(OR(D1180=0,D1181="　"),"",MROUND((SUM(D1190,D1191))/1*RIGHT(F1214, 3),0.1))</f>
        <v>5.5</v>
      </c>
      <c r="K1214" s="214">
        <f>IFERROR(D1180*J1214,"")</f>
        <v>55</v>
      </c>
    </row>
    <row r="1215" spans="2:11" ht="12" customHeight="1">
      <c r="B1215" s="206" t="s">
        <v>0</v>
      </c>
      <c r="C1215" s="207" t="str">
        <f>IF(OR(D1180=0,D1181="　"),"","16/20、高密度ポリエチレン")</f>
        <v>16/20、高密度ポリエチレン</v>
      </c>
      <c r="D1215" s="208"/>
      <c r="E1215" s="209"/>
      <c r="F1215" s="210" t="s">
        <v>33</v>
      </c>
      <c r="G1215" s="211"/>
      <c r="H1215" s="212"/>
      <c r="I1215" s="213" t="s">
        <v>12</v>
      </c>
      <c r="J1215" s="214">
        <f>IF(OR(D1180=0,D1181="　"),"",MROUND(D1193,0.1))</f>
        <v>9.7000000000000011</v>
      </c>
      <c r="K1215" s="214">
        <f>IFERROR(D1180*J1215,"")</f>
        <v>97.000000000000014</v>
      </c>
    </row>
    <row r="1216" spans="2:11" ht="12" customHeight="1">
      <c r="B1216" s="206" t="str" cm="1">
        <f t="array" ref="B1216">_xlfn.IFS(OR(D1180=0,D1181="　",MID(D1184,1,2)="なし",MID(D1184,1,3)="受圧体"),"",MID(D1184,1,3)="のり面","のり面角度台座",MID(D1184,1,3)="構造物","構造物壁面台座",MID(D1184,1,3)="土留め","土留め台座")</f>
        <v>のり面角度台座</v>
      </c>
      <c r="C1216" s="210" t="str" cm="1">
        <f t="array" ref="C1216">IF(OR(D1180=0,D1181="　",MID(D1184,1,2)="なし",MID(D1184,1,3)="受圧体"),"",_xlfn.IFS(MID(D1184,1,3)="のり面",IF(1*MID(D1181,4,1)=5,_xlfn.IFS(1*MID(LEFT(D1181, LEN(D1181)-1),6,2)&lt;5,"ST140",1*MID(LEFT(D1181, LEN(D1181)-1),6,2)&lt;8,"ST170",1*MID(LEFT(D1181, LEN(D1181)-1),6,2)&lt;13,"ST220"),_xlfn.IFS(1*MID(LEFT(D1181, LEN(D1181)-1),6,2)&lt;4,"ST140",1*MID(LEFT(D1181, LEN(D1181)-1),6,2)&lt;5,"ST170",1*MID(LEFT(D1181, LEN(D1181)-1),6,2)&lt;8,"ST220",1*MID(LEFT(D1181, LEN(D1181)-1),6,2)&lt;15,"非該当"))&amp;"、FCD450相当、防食："&amp;_xlfn.IFS(MID(D1182,1,3)="防食Ⅱ","HDZT77めっき",MID(D1182,5,2)="塩害","ｱﾙﾐﾅｲｽﾞ処理",MID(D1182,5,2)="酸性","重防食処理"),OR(MID(D1184,1,3)="構造物",MID(D1184,1,3)="土留め"),D1181&amp;"用"&amp;IF(OR(MID(D1184,1,3)="構造物",D1185="　"),"",D1185)&amp;"、防食："&amp;_xlfn.IFS(MID(D1182,1,3)="防食Ⅱ","HDZT77めっき",MID(D1182,5,2)="塩害","ｱﾙﾐﾅｲｽﾞ処理",MID(D1182,5,2)="酸性","重防食処理")))</f>
        <v>ST140、FCD450相当、防食：HDZT77めっき</v>
      </c>
      <c r="D1216" s="208"/>
      <c r="E1216" s="209"/>
      <c r="F1216" s="217" t="str">
        <f>IF(OR(D1184="なし",D1184="受圧体のみ"),"","n=1")</f>
        <v>n=1</v>
      </c>
      <c r="G1216" s="218"/>
      <c r="H1216" s="219"/>
      <c r="I1216" s="213" t="str">
        <f>IF(OR(D1180=0,D1181="　",B1216=""),"","台")</f>
        <v>台</v>
      </c>
      <c r="J1216" s="220" t="str">
        <f>IF(OR(D1180=0,D1181="　"),"",MID(F1216,3,2))</f>
        <v>1</v>
      </c>
      <c r="K1216" s="214">
        <f>IFERROR(D1180*J1216,"")</f>
        <v>10</v>
      </c>
    </row>
    <row r="1217" spans="2:11" ht="12" customHeight="1">
      <c r="B1217" s="206" t="str">
        <f>IF(OR(D1180=0,D1181="　",MID(D1184,1,3)&lt;&gt;"のり面"),"","補剛板")</f>
        <v>補剛板</v>
      </c>
      <c r="C1217" s="210" t="str" cm="1">
        <f t="array" ref="C1217">IF(OR(D1180=0,D1181="　",MID(D1184,1,3)&lt;&gt;"のり面"),"",IF(MID(D1181,4,1)="5","□"&amp;_xlfn.SWITCH(1*MID(LEFT(D1181, LEN(D1181)-1),6,2),1,"210φ131t12",2,"210φ131t12",3,"240φ131t12",4,"270φ131t12",5,"280φ143t12",6,"310φ143t16",7,"350φ143t19",8,"350φ180t19",9,"350φ180t19",10,"350φ180t19",11,"350φ180t22",12,"350φ180t22"),"□"&amp;_xlfn.SWITCH(1*MID(LEFT(D1181, LEN(D1181)-1),6,2),1,"210,φ131,t12",2,"240,φ131,t12",3,"270,φ131,t16",4,"300,φ143,t16",5,"350,φ180,t16",6,"350,φ180,t16",7,"350,φ180,t19",8,"400,φ──,t12",9,"400,φ──,t12",10,"400,φ──,t12",11,"400,φ──,t12",12,"400,φ──,t12",13,"400,φ──,t12",14,"400,φ──,t12"))&amp;"、SS400相当、防食："&amp;_xlfn.IFS(MID(D1182,1,3)="防食Ⅱ","HDZT77めっき",MID(D1182,5,2)="塩害","ｱﾙﾐﾅｲｽﾞ処理",MID(D1182,5,2)="酸性","重防食処理"))</f>
        <v>□270φ131t12、SS400相当、防食：HDZT77めっき</v>
      </c>
      <c r="D1217" s="208"/>
      <c r="E1217" s="209"/>
      <c r="F1217" s="217" t="str">
        <f>IF(OR(D1180=0,D1181="　",MID(D1184,1,3)&lt;&gt;"のり面"),"","n=1")</f>
        <v>n=1</v>
      </c>
      <c r="G1217" s="218"/>
      <c r="H1217" s="219"/>
      <c r="I1217" s="213" t="str">
        <f>IF(OR(D1180=0,D1181="　",B1217="",MID(D1184,1,3)&lt;&gt;"のり面"),"","枚")</f>
        <v>枚</v>
      </c>
      <c r="J1217" s="220" t="str">
        <f>IF(OR(D1180=0,D1181="　"),"",MID(F1217,3,2))</f>
        <v>1</v>
      </c>
      <c r="K1217" s="214">
        <f>IFERROR(D1180*J1217,"")</f>
        <v>10</v>
      </c>
    </row>
    <row r="1218" spans="2:11" ht="12" customHeight="1">
      <c r="B1218" s="206" t="str" cm="1">
        <f t="array" ref="B1218">_xlfn.IFS(OR(D1180=0,D1181="　"),"",MID(D1183,1,3)="アルミ","",MID(D1183,1,3)&lt;&gt;"アルミ","テンドン補修用塗料")</f>
        <v>テンドン補修用塗料</v>
      </c>
      <c r="C1218" s="210" t="str" cm="1">
        <f t="array" ref="C1218">_xlfn.IFS(OR(D1180=0,D1181="　"),"",MID(D1183,1,3)="アルミ","",MID(D1183,1,3)&lt;&gt;"アルミ","エポキシ樹脂")</f>
        <v>エポキシ樹脂</v>
      </c>
      <c r="D1218" s="208"/>
      <c r="E1218" s="209"/>
      <c r="F1218" s="217" t="str" cm="1">
        <f t="array" ref="F1218">_xlfn.IFS(OR(D1180=0,D1181="　"),"",MID(D1183,1,3)="アルミ","",MID(D1183,1,3)&lt;&gt;"アルミ","W=PC鋼より線本数×"&amp;IF(MID(D1181,4,1)="5","0.28","0.40"))</f>
        <v>W=PC鋼より線本数×0.28</v>
      </c>
      <c r="G1218" s="218"/>
      <c r="H1218" s="219"/>
      <c r="I1218" s="213" t="str" cm="1">
        <f t="array" ref="I1218">_xlfn.IFS(OR(D1180=0,D1181="　"),"",MID(D1183,1,3)="アルミ","",MID(D1183,1,3)&lt;&gt;"アルミ","g")</f>
        <v>g</v>
      </c>
      <c r="J1218" s="224" cm="1">
        <f t="array" ref="J1218">_xlfn.IFS(OR(D1180=0,D1181="　"),"",MID(D1183,1,3)="アルミ","",MID(D1183,1,3)&lt;&gt;"アルミ",MID(LEFT(D1181, LEN(D1181)-1),6,2)*IF(MID(D1181,4,1)="5",0.28,0.4))</f>
        <v>1.1200000000000001</v>
      </c>
      <c r="K1218" s="214">
        <f>IFERROR(D1180*J1218,"")</f>
        <v>11.200000000000001</v>
      </c>
    </row>
    <row r="1219" spans="2:11" ht="12" customHeight="1">
      <c r="B1219" s="206" t="str" cm="1">
        <f t="array" ref="B1219">_xlfn.IFS(OR(D1180=0,D1181="　"),"",MID(D1183,1,3)="アルミ","",MID(D1183,1,3)&lt;&gt;"アルミ","長期防錆スプレー")</f>
        <v>長期防錆スプレー</v>
      </c>
      <c r="C1219" s="210" t="str" cm="1">
        <f t="array" ref="C1219">_xlfn.IFS(OR(D1180=0,D1181="　"),"",MID(D1183,1,3)="アルミ","",MID(D1183,1,3)&lt;&gt;"アルミ","防錆オイル")</f>
        <v>防錆オイル</v>
      </c>
      <c r="D1219" s="208"/>
      <c r="E1219" s="209"/>
      <c r="F1219" s="217" t="str" cm="1">
        <f t="array" ref="F1219">_xlfn.IFS(OR(D1180=0,D1181="　"),"",MID(D1183,1,3)="アルミ","",MID(D1183,1,3)&lt;&gt;"アルミ","n=0.01×(PC鋼より線本数+"&amp;IF(MID(D1181,4,1)="5","6","12")&amp;")")</f>
        <v>n=0.01×(PC鋼より線本数+6)</v>
      </c>
      <c r="G1219" s="218"/>
      <c r="H1219" s="219"/>
      <c r="I1219" s="213" t="str" cm="1">
        <f t="array" ref="I1219">_xlfn.IFS(OR(D1180=0,D1181="　"),"",MID(D1183,1,3)="アルミ","",MID(D1183,1,3)&lt;&gt;"アルミ","缶")</f>
        <v>缶</v>
      </c>
      <c r="J1219" s="224" cm="1">
        <f t="array" ref="J1219">_xlfn.IFS(OR(D1180=0,D1181="　"),"",MID(D1183,1,3)="アルミ","",MID(D1183,1,3)&lt;&gt;"アルミ",0.01*(MID(LEFT(D1181, LEN(D1181)-1),6,2)+IF(MID(D1181,4,1)="5",6,12)))</f>
        <v>0.1</v>
      </c>
      <c r="K1219" s="214">
        <f>IFERROR(D1180*J1219,"")</f>
        <v>1</v>
      </c>
    </row>
    <row r="1220" spans="2:11" ht="12" customHeight="1">
      <c r="B1220" s="206" t="str">
        <f>IF(OR(D1180=0,D1181="　",D1186="なし"),"","フリーパッカー注入ホース")</f>
        <v/>
      </c>
      <c r="C1220" s="207" t="str">
        <f>IF(OR(D1180=0,D1181="　",B1220=""),"","16/20、高密度ポリエチレン")</f>
        <v/>
      </c>
      <c r="D1220" s="208"/>
      <c r="E1220" s="209"/>
      <c r="F1220" s="210" t="str">
        <f>IF(B1220="","","L=自由長+緊張部長")</f>
        <v/>
      </c>
      <c r="G1220" s="211"/>
      <c r="H1220" s="212"/>
      <c r="I1220" s="213" t="str">
        <f>IF(OR(D1180=0,D1181="　",B1220=""),"","m")</f>
        <v/>
      </c>
      <c r="J1220" s="214" t="str">
        <f>IF(OR(D1180=0,D1181="　"),"",IF(B1220="","",MROUND(D1190+D1191,0.1)))</f>
        <v/>
      </c>
      <c r="K1220" s="214" t="str">
        <f>IFERROR(D1180*J1220,"")</f>
        <v/>
      </c>
    </row>
    <row r="1221" spans="2:11" ht="12" customHeight="1">
      <c r="B1221" s="225" t="str">
        <f>IF(OR(D1180=0,D1181="　",D1186="なし"),"","フリーパッカー")</f>
        <v/>
      </c>
      <c r="C1221" s="217" t="str" cm="1">
        <f t="array" ref="C1221">IF(OR(D1180=0,D1181="　",B1220=""),"",_xlfn.SWITCH(D1195,90,"PA-170",115,"PA-200",135,"PA-240",146,"PA-240",165,"PA-350")&amp;"、織布")</f>
        <v/>
      </c>
      <c r="D1221" s="208"/>
      <c r="E1221" s="209"/>
      <c r="F1221" s="226" t="str">
        <f>IF(B1221="","","L=自由長+0.5m")</f>
        <v/>
      </c>
      <c r="G1221" s="227"/>
      <c r="H1221" s="228"/>
      <c r="I1221" s="213" t="str">
        <f>IF(OR(D1181=0,D1182="　",B1221=""),"","m")</f>
        <v/>
      </c>
      <c r="J1221" s="214" t="str">
        <f>IF(OR(D1180=0,D1181="　"),"",IF(B1221="","",MROUND(D1190+0.5,0.1)))</f>
        <v/>
      </c>
      <c r="K1221" s="214" t="str">
        <f>IFERROR(D1180*J1221,"")</f>
        <v/>
      </c>
    </row>
    <row r="1222" spans="2:11" ht="12" customHeight="1">
      <c r="B1222" s="206" t="str">
        <f>IF(OR(D1180=0,D1181="　",D1186="なし"),"","パッカー取付加工")</f>
        <v/>
      </c>
      <c r="C1222" s="207"/>
      <c r="D1222" s="208"/>
      <c r="E1222" s="209"/>
      <c r="F1222" s="217" t="str">
        <f>IF(B1222="","","n=1")</f>
        <v/>
      </c>
      <c r="G1222" s="218"/>
      <c r="H1222" s="219"/>
      <c r="I1222" s="213" t="str">
        <f>IF(OR(D1182=0,D1183="　",B1222=""),"","式")</f>
        <v/>
      </c>
      <c r="J1222" s="220" t="str">
        <f>IF(OR(D1180=0,D1181="　"),"",MID(F1222,3,2))</f>
        <v/>
      </c>
      <c r="K1222" s="206" t="str">
        <f>IFERROR(D1180*J1222,"")</f>
        <v/>
      </c>
    </row>
    <row r="1223" spans="2:11" ht="12" customHeight="1">
      <c r="B1223" s="229"/>
      <c r="C1223" s="230"/>
      <c r="D1223" s="231"/>
      <c r="E1223" s="232"/>
      <c r="F1223" s="233"/>
      <c r="G1223" s="234"/>
      <c r="H1223" s="235"/>
      <c r="I1223" s="236"/>
      <c r="J1223" s="237"/>
      <c r="K1223" s="229"/>
    </row>
    <row r="1224" spans="2:11" ht="12" customHeight="1">
      <c r="B1224" s="238" t="s">
        <v>30</v>
      </c>
      <c r="C1224" s="239" t="s">
        <v>31</v>
      </c>
      <c r="D1224" s="240"/>
      <c r="E1224" s="241"/>
      <c r="F1224" s="242" t="s">
        <v>157</v>
      </c>
      <c r="G1224" s="243"/>
      <c r="H1224" s="244"/>
      <c r="I1224" s="245" t="s">
        <v>55</v>
      </c>
      <c r="J1224" s="246">
        <f>IFERROR(MROUND(0.25*PI()*(0.001*D1195)^2*(D1188+D1189+D1194)*(1+2.2),0.01),"")</f>
        <v>0.17</v>
      </c>
      <c r="K1224" s="246">
        <f>IFERROR(D1180*J1224,"")</f>
        <v>1.7000000000000002</v>
      </c>
    </row>
    <row r="1226" spans="2:11" ht="12" customHeight="1">
      <c r="B1226" s="247" t="s">
        <v>136</v>
      </c>
      <c r="C1226" s="247"/>
      <c r="D1226" s="247"/>
      <c r="F1226" s="163"/>
      <c r="G1226" s="164"/>
      <c r="H1226" s="164"/>
    </row>
    <row r="1227" spans="2:11" ht="12" customHeight="1">
      <c r="B1227" s="15" t="s">
        <v>111</v>
      </c>
      <c r="C1227" s="15"/>
      <c r="D1227" s="1"/>
      <c r="E1227" s="1"/>
      <c r="H1227" s="119"/>
      <c r="J1227" s="118"/>
    </row>
    <row r="1228" spans="2:11" ht="12" customHeight="1">
      <c r="B1228" s="165" t="s">
        <v>166</v>
      </c>
      <c r="C1228" s="3"/>
      <c r="D1228" s="1"/>
      <c r="E1228" s="1"/>
      <c r="F1228" s="8"/>
      <c r="G1228" s="8"/>
      <c r="H1228" s="102"/>
      <c r="I1228" s="28"/>
      <c r="J1228" s="118"/>
    </row>
    <row r="1229" spans="2:11" ht="12" customHeight="1">
      <c r="B1229" s="15" t="s">
        <v>40</v>
      </c>
      <c r="C1229" s="3"/>
      <c r="D1229" s="1"/>
      <c r="E1229" s="1"/>
      <c r="F1229" s="15" t="s">
        <v>54</v>
      </c>
      <c r="G1229" s="15"/>
      <c r="H1229" s="102"/>
      <c r="I1229" s="28"/>
    </row>
    <row r="1230" spans="2:11" ht="12" customHeight="1">
      <c r="B1230" s="2" t="s">
        <v>53</v>
      </c>
      <c r="C1230" s="2" t="s">
        <v>21</v>
      </c>
      <c r="D1230" s="2" t="s">
        <v>22</v>
      </c>
      <c r="E1230" s="17"/>
      <c r="F1230" s="49" t="s">
        <v>41</v>
      </c>
      <c r="G1230" s="97" t="s">
        <v>59</v>
      </c>
      <c r="H1230" s="49" t="s">
        <v>44</v>
      </c>
      <c r="I1230" s="2" t="s">
        <v>21</v>
      </c>
      <c r="J1230" s="49" t="s">
        <v>138</v>
      </c>
      <c r="K1230" s="2" t="s">
        <v>28</v>
      </c>
    </row>
    <row r="1231" spans="2:11" ht="12" customHeight="1">
      <c r="B1231" s="166" t="s">
        <v>25</v>
      </c>
      <c r="C1231" s="18" t="s">
        <v>24</v>
      </c>
      <c r="D1231" s="167">
        <v>10</v>
      </c>
      <c r="E1231" s="19"/>
      <c r="F1231" s="168" t="s">
        <v>43</v>
      </c>
      <c r="G1231" s="169" t="s">
        <v>113</v>
      </c>
      <c r="H1231" s="88" t="str" cm="1">
        <f t="array" ref="H1231">_xlfn.IFS(AND(F1231&lt;&gt;"非削孔",F1231&lt;&gt;"無設定"),D1246,F1231="非削孔",IF(MID(D1235,1,3)="土留め","非削孔","箱抜き"),F1231="無設定","無設定")</f>
        <v>箱抜き</v>
      </c>
      <c r="I1231" s="23" t="str">
        <f>IF(F1231="無設定","","m")</f>
        <v>m</v>
      </c>
      <c r="J1231" s="170">
        <v>0.5</v>
      </c>
      <c r="K1231" s="30">
        <f>D1231*J1231</f>
        <v>5</v>
      </c>
    </row>
    <row r="1232" spans="2:11" ht="12" customHeight="1">
      <c r="B1232" s="171" t="s">
        <v>37</v>
      </c>
      <c r="C1232" s="50" t="s">
        <v>38</v>
      </c>
      <c r="D1232" s="172" t="s">
        <v>159</v>
      </c>
      <c r="E1232" s="173"/>
      <c r="F1232" s="174" t="s">
        <v>49</v>
      </c>
      <c r="G1232" s="169" t="s">
        <v>114</v>
      </c>
      <c r="H1232" s="88" cm="1">
        <f t="array" ref="H1232">_xlfn.IFS(AND(F1232&lt;&gt;"非削孔",F1232&lt;&gt;"無設定"),D1246,F1232="非削孔","箱抜き",F1232="無設定","無設定")</f>
        <v>90</v>
      </c>
      <c r="I1232" s="23" t="str">
        <f t="shared" ref="I1232:I1240" si="48">IF(F1232="無設定","","m")</f>
        <v>m</v>
      </c>
      <c r="J1232" s="170">
        <v>2.64</v>
      </c>
      <c r="K1232" s="30">
        <f>D1231*J1232</f>
        <v>26.400000000000002</v>
      </c>
    </row>
    <row r="1233" spans="2:11" ht="12" customHeight="1">
      <c r="B1233" s="52" t="s">
        <v>39</v>
      </c>
      <c r="C1233" s="91" t="s">
        <v>38</v>
      </c>
      <c r="D1233" s="175" t="s">
        <v>60</v>
      </c>
      <c r="E1233" s="140"/>
      <c r="F1233" s="174" t="s">
        <v>49</v>
      </c>
      <c r="G1233" s="169" t="s">
        <v>115</v>
      </c>
      <c r="H1233" s="88" cm="1">
        <f t="array" ref="H1233">_xlfn.IFS(AND(F1233&lt;&gt;"非削孔",F1233&lt;&gt;"無設定"),D1246,F1233="非削孔","箱抜き",F1233="無設定","無設定")</f>
        <v>90</v>
      </c>
      <c r="I1233" s="23" t="str">
        <f t="shared" si="48"/>
        <v>m</v>
      </c>
      <c r="J1233" s="170">
        <v>5.36</v>
      </c>
      <c r="K1233" s="30">
        <f>D1231*J1233</f>
        <v>53.6</v>
      </c>
    </row>
    <row r="1234" spans="2:11" ht="12" customHeight="1">
      <c r="B1234" s="147" t="s">
        <v>140</v>
      </c>
      <c r="C1234" s="91" t="s">
        <v>38</v>
      </c>
      <c r="D1234" s="176" t="s">
        <v>141</v>
      </c>
      <c r="E1234" s="141"/>
      <c r="F1234" s="174" t="s">
        <v>48</v>
      </c>
      <c r="G1234" s="169"/>
      <c r="H1234" s="88" t="str" cm="1">
        <f t="array" ref="H1234">_xlfn.IFS(AND(F1234&lt;&gt;"非削孔",F1234&lt;&gt;"無設定"),D1246,F1234="非削孔","箱抜き",F1234="無設定","無設定")</f>
        <v>無設定</v>
      </c>
      <c r="I1234" s="23" t="str">
        <f t="shared" si="48"/>
        <v/>
      </c>
      <c r="J1234" s="170">
        <v>0</v>
      </c>
      <c r="K1234" s="30">
        <f>D1231*J1234</f>
        <v>0</v>
      </c>
    </row>
    <row r="1235" spans="2:11" ht="12" customHeight="1">
      <c r="B1235" s="147" t="s">
        <v>142</v>
      </c>
      <c r="C1235" s="91" t="s">
        <v>38</v>
      </c>
      <c r="D1235" s="177" t="s">
        <v>160</v>
      </c>
      <c r="E1235" s="21"/>
      <c r="F1235" s="174" t="s">
        <v>48</v>
      </c>
      <c r="G1235" s="169"/>
      <c r="H1235" s="88" t="str" cm="1">
        <f t="array" ref="H1235">_xlfn.IFS(AND(F1235&lt;&gt;"非削孔",F1235&lt;&gt;"無設定"),D1246,F1235="非削孔","箱抜き",F1235="無設定","無設定")</f>
        <v>無設定</v>
      </c>
      <c r="I1235" s="23" t="str">
        <f t="shared" si="48"/>
        <v/>
      </c>
      <c r="J1235" s="170">
        <v>0</v>
      </c>
      <c r="K1235" s="30">
        <f>D1231*J1235</f>
        <v>0</v>
      </c>
    </row>
    <row r="1236" spans="2:11" ht="12" customHeight="1">
      <c r="B1236" s="114" t="str">
        <f>IF(MID(D1235,1,3)="土留め",D1235&amp;"の種類","")</f>
        <v/>
      </c>
      <c r="C1236" s="91" t="s">
        <v>38</v>
      </c>
      <c r="D1236" s="178" t="s">
        <v>71</v>
      </c>
      <c r="E1236" s="21"/>
      <c r="F1236" s="174" t="s">
        <v>48</v>
      </c>
      <c r="G1236" s="169"/>
      <c r="H1236" s="88" t="str" cm="1">
        <f t="array" ref="H1236">_xlfn.IFS(AND(F1236&lt;&gt;"非削孔",F1236&lt;&gt;"無設定"),D1246,F1236="非削孔","箱抜き",F1236="無設定","無設定")</f>
        <v>無設定</v>
      </c>
      <c r="I1236" s="23" t="str">
        <f t="shared" si="48"/>
        <v/>
      </c>
      <c r="J1236" s="170">
        <v>0</v>
      </c>
      <c r="K1236" s="30">
        <f>D1231*J1236</f>
        <v>0</v>
      </c>
    </row>
    <row r="1237" spans="2:11" ht="12" customHeight="1">
      <c r="B1237" s="179" t="s">
        <v>50</v>
      </c>
      <c r="C1237" s="180" t="s">
        <v>38</v>
      </c>
      <c r="D1237" s="181" t="s">
        <v>51</v>
      </c>
      <c r="E1237" s="182"/>
      <c r="F1237" s="174" t="s">
        <v>48</v>
      </c>
      <c r="G1237" s="169"/>
      <c r="H1237" s="88" t="str" cm="1">
        <f t="array" ref="H1237">_xlfn.IFS(AND(F1237&lt;&gt;"非削孔",F1237&lt;&gt;"無設定"),D1246,F1237="非削孔","箱抜き",F1237="無設定","無設定")</f>
        <v>無設定</v>
      </c>
      <c r="I1237" s="23" t="str">
        <f t="shared" si="48"/>
        <v/>
      </c>
      <c r="J1237" s="170">
        <v>0</v>
      </c>
      <c r="K1237" s="30">
        <f>D1231*J1237</f>
        <v>0</v>
      </c>
    </row>
    <row r="1238" spans="2:11" ht="12" customHeight="1">
      <c r="B1238" s="160" t="str" cm="1">
        <f t="array" ref="B1238">"頭部自由長"&amp;_xlfn.IFS(MID(D1235,1,2)="なし","",MID(D1235,1,3)="受圧体","(受圧体)",MID(D1235,1,3)="のり面","(角度台座＋受圧体)",MID(D1235,1,3)="構造物","(壁面台座)",MID(D1235,1,3)="土留め","(台座+腹起し)")&amp;"　Lfh"</f>
        <v>頭部自由長(角度台座＋受圧体)　Lfh</v>
      </c>
      <c r="C1238" s="155" t="s">
        <v>23</v>
      </c>
      <c r="D1238" s="183">
        <v>0.5</v>
      </c>
      <c r="E1238" s="21"/>
      <c r="F1238" s="174" t="s">
        <v>144</v>
      </c>
      <c r="G1238" s="169"/>
      <c r="H1238" s="88" cm="1">
        <f t="array" ref="H1238">_xlfn.IFS(AND(F1238&lt;&gt;"非削孔",F1238&lt;&gt;"無設定"),D1246,F1238="非削孔","箱抜き",F1238="無設定","無設定")</f>
        <v>90</v>
      </c>
      <c r="I1238" s="23" t="str">
        <f t="shared" si="48"/>
        <v>m</v>
      </c>
      <c r="J1238" s="170">
        <v>0</v>
      </c>
      <c r="K1238" s="30">
        <f>D1231*J1238</f>
        <v>0</v>
      </c>
    </row>
    <row r="1239" spans="2:11" ht="12" customHeight="1">
      <c r="B1239" s="22" t="s">
        <v>108</v>
      </c>
      <c r="C1239" s="23" t="s">
        <v>23</v>
      </c>
      <c r="D1239" s="184">
        <v>4</v>
      </c>
      <c r="E1239" s="21"/>
      <c r="F1239" s="174" t="s">
        <v>48</v>
      </c>
      <c r="G1239" s="169"/>
      <c r="H1239" s="88" t="str" cm="1">
        <f t="array" ref="H1239">_xlfn.IFS(AND(F1239&lt;&gt;"非削孔",F1239&lt;&gt;"無設定"),D1246,F1239="非削孔","箱抜き",F1239="無設定","無設定")</f>
        <v>無設定</v>
      </c>
      <c r="I1239" s="23" t="str">
        <f t="shared" si="48"/>
        <v/>
      </c>
      <c r="J1239" s="170">
        <v>0</v>
      </c>
      <c r="K1239" s="30">
        <f>D1231*J1239</f>
        <v>0</v>
      </c>
    </row>
    <row r="1240" spans="2:11" ht="12" customHeight="1">
      <c r="B1240" s="157" t="s">
        <v>36</v>
      </c>
      <c r="C1240" s="158" t="s">
        <v>23</v>
      </c>
      <c r="D1240" s="185">
        <v>4</v>
      </c>
      <c r="F1240" s="186" t="str" cm="1">
        <f t="array" ref="F1240">INDEX(F1231:H1239,MATCH("無設定",F1231:F1239,0)-1,MATCH(F1230,F1230:H1230,0))</f>
        <v>軟　岩</v>
      </c>
      <c r="G1240" s="100" t="str" cm="1">
        <f t="array" ref="G1240">INDEX(F1231:H1239,MATCH("無設定",F1231:F1239,0)-1,MATCH(G1230,F1230:H1230,0))&amp;"　(先端長 L2d)"</f>
        <v>風化岩 CL　(先端長 L2d)</v>
      </c>
      <c r="H1240" s="88" cm="1">
        <f t="array" ref="H1240">INDEX(F1231:H1239,MATCH("無設定",F1231:F1239,0)-1,MATCH(H1230,F1230:H1230,0))</f>
        <v>90</v>
      </c>
      <c r="I1240" s="23" t="str">
        <f t="shared" si="48"/>
        <v>m</v>
      </c>
      <c r="J1240" s="98">
        <f>D1245</f>
        <v>0.25</v>
      </c>
      <c r="K1240" s="78">
        <f>IFERROR(D1231*J1240,"")</f>
        <v>2.5</v>
      </c>
    </row>
    <row r="1241" spans="2:11" ht="12" customHeight="1">
      <c r="B1241" s="154" t="s">
        <v>145</v>
      </c>
      <c r="C1241" s="155" t="s">
        <v>23</v>
      </c>
      <c r="D1241" s="187">
        <f>IF(OR(D1231=0,D1232="　"),"──",SUM(D1238:D1239))</f>
        <v>4.5</v>
      </c>
      <c r="E1241" s="19"/>
      <c r="F1241" s="188"/>
      <c r="G1241" s="75" t="s">
        <v>124</v>
      </c>
      <c r="H1241" s="103"/>
      <c r="I1241" s="18" t="s">
        <v>23</v>
      </c>
      <c r="J1241" s="74">
        <f>SUMIFS(J1231:J1240,F1231:F1240,"&lt;&gt;非削孔",F1231:F1240,"&lt;&gt;無設定")</f>
        <v>8.25</v>
      </c>
      <c r="K1241" s="95">
        <f>SUMIFS(K1231:K1240,F1231:F1240,"&lt;&gt;非削孔",F1231:F1240,"&lt;&gt;無設定")</f>
        <v>82.5</v>
      </c>
    </row>
    <row r="1242" spans="2:11" ht="12" customHeight="1">
      <c r="B1242" s="146" t="s">
        <v>146</v>
      </c>
      <c r="C1242" s="23" t="s">
        <v>23</v>
      </c>
      <c r="D1242" s="189" cm="1">
        <f t="array" ref="D1242">IF(OR(D1231=0,D1232="　"),"──",IF(MID(D1232,4,1)="5",_xlfn.IFS(1*MID(LEFT(D1232, LEN(D1232)-1),6,2)&lt;8,1,1*MID(LEFT(D1232, LEN(D1232)-1),6,2)&lt;13,1.2),_xlfn.IFS(1*MID(LEFT(D1232, LEN(D1232)-1),6,2)&lt;6,1,1*MID(LEFT(D1232, LEN(D1232)-1),6,2)&lt;15,1.2)))</f>
        <v>1</v>
      </c>
      <c r="E1242" s="19"/>
      <c r="F1242" s="190"/>
      <c r="G1242" s="76" t="s">
        <v>47</v>
      </c>
      <c r="H1242" s="104"/>
      <c r="I1242" s="79" t="s">
        <v>46</v>
      </c>
      <c r="J1242" s="77" t="str">
        <f>IF(OR(D1231=0,D1232="　"),"",IF(SUM(D1239:D1240,D1245)=J1241,"OK","NG"))</f>
        <v>OK</v>
      </c>
      <c r="K1242" s="145" t="str">
        <f>IF(J1242&lt;&gt;"NG","──",J1241-SUM(D1239:D1240,D1245))</f>
        <v>──</v>
      </c>
    </row>
    <row r="1243" spans="2:11" ht="12" customHeight="1">
      <c r="B1243" s="22" t="s">
        <v>125</v>
      </c>
      <c r="C1243" s="23" t="s">
        <v>35</v>
      </c>
      <c r="D1243" s="84">
        <f>IF(OR(D1231=0,D1232="　"),"──",0.2)</f>
        <v>0.2</v>
      </c>
      <c r="F1243" s="191" t="s">
        <v>58</v>
      </c>
      <c r="G1243" s="248" t="s">
        <v>110</v>
      </c>
      <c r="H1243" s="249"/>
      <c r="I1243" s="249"/>
      <c r="J1243" s="249"/>
      <c r="K1243" s="250"/>
    </row>
    <row r="1244" spans="2:11" ht="12" customHeight="1">
      <c r="B1244" s="6" t="s">
        <v>147</v>
      </c>
      <c r="C1244" s="23" t="s">
        <v>23</v>
      </c>
      <c r="D1244" s="60">
        <f>IF(OR(D1231=0,D1232="　"),"──",SUM(D1240:D1243))</f>
        <v>9.6999999999999993</v>
      </c>
    </row>
    <row r="1245" spans="2:11" ht="12" customHeight="1">
      <c r="B1245" s="25" t="s">
        <v>127</v>
      </c>
      <c r="C1245" s="26" t="s">
        <v>23</v>
      </c>
      <c r="D1245" s="27">
        <f>IF(OR(D1231=0,D1232="　"),"──",0.25)</f>
        <v>0.25</v>
      </c>
      <c r="F1245" s="8"/>
      <c r="G1245" s="8"/>
      <c r="H1245" s="102"/>
    </row>
    <row r="1246" spans="2:11" ht="12" customHeight="1">
      <c r="B1246" s="95" t="s">
        <v>123</v>
      </c>
      <c r="C1246" s="18" t="s">
        <v>32</v>
      </c>
      <c r="D1246" s="192">
        <v>90</v>
      </c>
      <c r="E1246" s="193" t="str">
        <f>IF(D1246&lt;D1247,"NG：削孔径不適合","")</f>
        <v/>
      </c>
      <c r="F1246" s="8"/>
      <c r="G1246" s="8"/>
      <c r="H1246" s="102"/>
    </row>
    <row r="1247" spans="2:11" ht="12" customHeight="1">
      <c r="B1247" s="25" t="s">
        <v>122</v>
      </c>
      <c r="C1247" s="26" t="s">
        <v>32</v>
      </c>
      <c r="D1247" s="194" cm="1">
        <f t="array" ref="D1247">IF(OR(D1231=0,D1232="　"),"──",IF(D1237="なし",IF(MID(D1232,4,1)="5",_xlfn.IFS(1*MID(LEFT(D1232, LEN(D1232)-1),6,2)&lt;6,90,1*MID(LEFT(D1232, LEN(D1232)-1),6,2)&lt;9,115,1*MID(LEFT(D1232, LEN(D1232)-1),6,2)&gt;8,135),_xlfn.IFS(1*MID(LEFT(D1232, LEN(D1232)-1),6,2)&lt;4,90,1*MID(LEFT(D1232, LEN(D1232)-1),6,2)&lt;7,115,1*MID(LEFT(D1232, LEN(D1232)-1),6,2)&lt;10,135,1*MID(LEFT(D1232, LEN(D1232)-1),6,2)&lt;13,146,1*MID(LEFT(D1232, LEN(D1232)-1),6,2)&gt;12,165)),IF(MID(D1232,4,1)="5",_xlfn.IFS(1*MID(LEFT(D1232, LEN(D1232)-1),6,2)&lt;3,90,1*MID(LEFT(D1232, LEN(D1232)-1),6,2)&lt;7,115,1*MID(LEFT(D1232, LEN(D1232)-1),6,2)&lt;9,135,1*MID(LEFT(D1232, LEN(D1232)-1),6,2)&gt;8,146),_xlfn.IFS(1*MID(LEFT(D1232, LEN(D1232)-1),6,2)&lt;3,90,1*MID(LEFT(D1232, LEN(D1232)-1),6,2)&lt;4,115,1*MID(LEFT(D1232, LEN(D1232)-1),6,2)&lt;6,135,1*MID(LEFT(D1232, LEN(D1232)-1),6,2)&lt;10,146,1*MID(LEFT(D1232, LEN(D1232)-1),6,2)&lt;13,165,1*MID(LEFT(D1232, LEN(D1232)-1),6,2)&gt;12,216))))</f>
        <v>90</v>
      </c>
      <c r="E1247" s="195"/>
      <c r="F1247" s="8"/>
      <c r="G1247" s="8"/>
      <c r="H1247" s="102"/>
    </row>
    <row r="1248" spans="2:11" ht="12" customHeight="1">
      <c r="B1248" s="20"/>
      <c r="C1248" s="46"/>
      <c r="D1248" s="117"/>
      <c r="F1248" s="8"/>
      <c r="G1248" s="8"/>
      <c r="H1248" s="102"/>
    </row>
    <row r="1249" spans="2:11" ht="12" customHeight="1">
      <c r="B1249" s="15" t="str">
        <f>"■"&amp;MID(B1226,2,14)</f>
        <v>■本設：EHDアンカーHP工法</v>
      </c>
      <c r="C1249" s="3"/>
      <c r="D1249" s="1"/>
      <c r="E1249" s="1"/>
      <c r="F1249" s="8"/>
      <c r="G1249" s="8"/>
      <c r="H1249" s="102"/>
    </row>
    <row r="1250" spans="2:11" ht="12" customHeight="1">
      <c r="B1250" s="2" t="s">
        <v>17</v>
      </c>
      <c r="C1250" s="43"/>
      <c r="D1250" s="196" t="s">
        <v>148</v>
      </c>
      <c r="E1250" s="135"/>
      <c r="F1250" s="16"/>
      <c r="G1250" s="61" t="s">
        <v>42</v>
      </c>
      <c r="H1250" s="97"/>
      <c r="I1250" s="2" t="s">
        <v>21</v>
      </c>
      <c r="J1250" s="49" t="s">
        <v>149</v>
      </c>
      <c r="K1250" s="2" t="s">
        <v>28</v>
      </c>
    </row>
    <row r="1251" spans="2:11" ht="12" customHeight="1">
      <c r="B1251" s="197" t="s">
        <v>150</v>
      </c>
      <c r="C1251" s="198" t="str">
        <f>IF(OR(D1231=0,D1232="　"),"",D1232&amp;" ("&amp;MID(LEFT(D1232, LEN(D1232)-1),6,2)&amp;IF(MID(D1232,4,1)="5","φ12.7","φ15.2")&amp;")")</f>
        <v>EHD5-4H (4φ12.7)</v>
      </c>
      <c r="D1251" s="199"/>
      <c r="E1251" s="200"/>
      <c r="F1251" s="201" t="str">
        <f>"W=テンドン長×PC鋼より線本数×"&amp;IF(MID(D1232,4,1)="5","0.774","1.101")&amp;"kg/m"</f>
        <v>W=テンドン長×PC鋼より線本数×0.774kg/m</v>
      </c>
      <c r="G1251" s="202"/>
      <c r="H1251" s="203"/>
      <c r="I1251" s="204" t="s">
        <v>11</v>
      </c>
      <c r="J1251" s="205">
        <f>IF(OR(D1231=0,D1232="　"),"",MROUND(D1244*MID(LEFT(D1232, LEN(D1232)-1),6,2)*IF(MID(D1232,4,1)="5","0.774","1.101"),0.01))</f>
        <v>30.03</v>
      </c>
      <c r="K1251" s="205">
        <f>IFERROR(D1231*J1251,"")</f>
        <v>300.3</v>
      </c>
    </row>
    <row r="1252" spans="2:11" ht="12" customHeight="1">
      <c r="B1252" s="206" t="s">
        <v>151</v>
      </c>
      <c r="C1252" s="207"/>
      <c r="D1252" s="208"/>
      <c r="E1252" s="209"/>
      <c r="F1252" s="210" t="s">
        <v>33</v>
      </c>
      <c r="G1252" s="211"/>
      <c r="H1252" s="212"/>
      <c r="I1252" s="213" t="s">
        <v>12</v>
      </c>
      <c r="J1252" s="214">
        <f>IF(OR(D1231=0,D1232="　"),"",MROUND(D1244,0.1))</f>
        <v>9.7000000000000011</v>
      </c>
      <c r="K1252" s="214">
        <f>IFERROR(D1231*J1252,"")</f>
        <v>97.000000000000014</v>
      </c>
    </row>
    <row r="1253" spans="2:11" ht="12" customHeight="1">
      <c r="B1253" s="206" t="str">
        <f>"頭部キャップ"</f>
        <v>頭部キャップ</v>
      </c>
      <c r="C1253" s="207" t="str" cm="1">
        <f t="array" ref="C1253">IF(OR(D1231=0,D1232="　"),"",IF(MID(D1232,4,1)="5",_xlfn.SWITCH(1*MID(LEFT(D1232, LEN(D1232)-1),6,2),1,"S",2,"S",3,"S",4,"S",5,"M",6,"M",7,"M",8,"L",9,"L",10,"L",11,"L",12,"L"),_xlfn.SWITCH(1*MID(LEFT(D1232, LEN(D1232)-1),6,2),1,"S",2,"S",3,"M",4,"M",5,"L",6,"L",7,"L",8,"LL",9,"LL",10,"LL",11,"LL",12,"LL",13,"LL",14,"LL"))&amp;"型"&amp;D1234&amp;IF(OR(MID(D1234,1,2)="透明",MID(D1234,1,2)="5窓"),"、PC樹脂","")&amp;"、ｱﾙﾐAC4C相当"&amp;_xlfn.IFS(MID(D1233,1,3)="防食Ⅱ","",MID(D1233,5,2)="塩害","、防食：ﾀｹｺｰﾄ処理",MID(D1233,5,2)="酸性","、防食：重防食処理"))</f>
        <v>S型透明キャップ、PC樹脂、ｱﾙﾐAC4C相当</v>
      </c>
      <c r="D1253" s="215"/>
      <c r="E1253" s="216"/>
      <c r="F1253" s="217" t="str">
        <f t="shared" ref="F1253:F1259" si="49">"n=1"</f>
        <v>n=1</v>
      </c>
      <c r="G1253" s="218"/>
      <c r="H1253" s="219"/>
      <c r="I1253" s="213" t="s">
        <v>13</v>
      </c>
      <c r="J1253" s="220" t="str">
        <f>IF(OR(D1231=0,D1232="　"),"",MID(F1253,3,2))</f>
        <v>1</v>
      </c>
      <c r="K1253" s="214">
        <f>IFERROR(D1231*J1253,"")</f>
        <v>10</v>
      </c>
    </row>
    <row r="1254" spans="2:11" ht="12" customHeight="1">
      <c r="B1254" s="206" t="s">
        <v>5</v>
      </c>
      <c r="C1254" s="207" t="str" cm="1">
        <f t="array" ref="C1254">IF(OR(D1231=0,D1232="　"),"",IF(MID(D1232,4,1)="5","G5"&amp;_xlfn.SWITCH(1*MID(LEFT(D1232, LEN(D1232)-1),6,2),1,"01",2,"02",3,"03",4,"04",5,"07",6,"07",7,"07",8,"09",9,"09",10,"12",11,"12",12,"12"),"G6"&amp;_xlfn.SWITCH(1*MID(LEFT(D1232, LEN(D1232)-1),6,2),1,"01",2,"02",3,"03",4,"04",5,"07",6,"07",7,"07",8,"09",9,"09",10,"12",11,"12",12,"12",13,"14",14,"14"))&amp;"、S45C相当"&amp;IF(MID(D1234,1,3)&lt;&gt;"アルミ","、防食：無電解Niめっき",""))</f>
        <v>G504、S45C相当、防食：無電解Niめっき</v>
      </c>
      <c r="D1254" s="208"/>
      <c r="E1254" s="209"/>
      <c r="F1254" s="217" t="str">
        <f t="shared" si="49"/>
        <v>n=1</v>
      </c>
      <c r="G1254" s="218"/>
      <c r="H1254" s="219"/>
      <c r="I1254" s="213" t="s">
        <v>13</v>
      </c>
      <c r="J1254" s="220" t="str">
        <f>IF(OR(D1231=0,D1232="　"),"",MID(F1254,3,2))</f>
        <v>1</v>
      </c>
      <c r="K1254" s="214">
        <f>IFERROR(D1231*J1254,"")</f>
        <v>10</v>
      </c>
    </row>
    <row r="1255" spans="2:11" ht="12" customHeight="1">
      <c r="B1255" s="206" t="s">
        <v>152</v>
      </c>
      <c r="C1255" s="207" t="str" cm="1">
        <f t="array" ref="C1255">IF(OR(D1231=0,D1232="　"),"",IF(MID(D1232,4,1)="5","G5"&amp;_xlfn.SWITCH(1*MID(LEFT(D1232, LEN(D1232)-1),6,2),1,"01",2,"02",3,"03",4,"04",5,"07",6,"07",7,"07",8,"09",9,"09",10,"12",11,"12",12,"12"),"G6"&amp;_xlfn.SWITCH(1*MID(LEFT(D1232, LEN(D1232)-1),6,2),1,"01",2,"02",3,"03",4,"04",5,"07",6,"07",7,"07",8,"09",9,"09",10,"12",11,"12",12,"12",13,"14",14,"14"))&amp;"、S45C相当"&amp;IF(MID(D1234,1,3)&lt;&gt;"アルミ","、防食：無電解Niめっき",""))</f>
        <v>G504、S45C相当、防食：無電解Niめっき</v>
      </c>
      <c r="D1255" s="208"/>
      <c r="E1255" s="209"/>
      <c r="F1255" s="217" t="str">
        <f t="shared" si="49"/>
        <v>n=1</v>
      </c>
      <c r="G1255" s="218"/>
      <c r="H1255" s="219"/>
      <c r="I1255" s="213" t="s">
        <v>13</v>
      </c>
      <c r="J1255" s="220" t="str">
        <f>IF(OR(D1231=0,D1232="　"),"",MID(F1255,3,2))</f>
        <v>1</v>
      </c>
      <c r="K1255" s="214">
        <f>IFERROR(D1231*J1255,"")</f>
        <v>10</v>
      </c>
    </row>
    <row r="1256" spans="2:11" ht="12" customHeight="1">
      <c r="B1256" s="206" t="s">
        <v>7</v>
      </c>
      <c r="C1256" s="207" t="str">
        <f>IF(OR(D1231=0,D1232="　"),"",IF(1*MID(D1232,4,1)=5,"ECF12.7","ECF15.2")&amp;"、SCM415相当"&amp;IF(MID(D1234,1,3)&lt;&gt;"アルミ","、防食：無電解Niめっき",""))</f>
        <v>ECF12.7、SCM415相当、防食：無電解Niめっき</v>
      </c>
      <c r="D1256" s="208"/>
      <c r="E1256" s="209"/>
      <c r="F1256" s="217" t="str">
        <f t="shared" si="49"/>
        <v>n=1</v>
      </c>
      <c r="G1256" s="218"/>
      <c r="H1256" s="219"/>
      <c r="I1256" s="213" t="s">
        <v>27</v>
      </c>
      <c r="J1256" s="220" t="str">
        <f>IF(OR(D1231=0,D1232="　"),"",MID(F1256,3,2))</f>
        <v>1</v>
      </c>
      <c r="K1256" s="214">
        <f>IFERROR(D1231*J1256,"")</f>
        <v>10</v>
      </c>
    </row>
    <row r="1257" spans="2:11" ht="12" customHeight="1">
      <c r="B1257" s="206" t="s">
        <v>153</v>
      </c>
      <c r="C1257" s="207" t="str" cm="1">
        <f t="array" ref="C1257">IF(OR(D1231=0,D1232="　"),"",IF(MID(D1232,4,1)="5","G5"&amp;_xlfn.SWITCH(1*MID(LEFT(D1232, LEN(D1232)-1),6,2),1,"01",2,"04",3,"03",4,"04",5,"07",6,"07",7,"07",8,"12",9,"12",10,"12",11,"12",12,"12"),"G6"&amp;_xlfn.SWITCH(1*MID(LEFT(D1232, LEN(D1232)-1),6,2),1,"01",2,"02",3,"03",4,"04",5,"07",6,"07",7,"07",8,"12",9,"12",10,"12",11,"12",12,"12",13,"14",14,"14"))&amp;"、SS400相当、防食："&amp;_xlfn.IFS(MID(D1233,1,3)="防食Ⅱ","HDZT77めっき",MID(D1233,5,2)="塩害","ｱﾙﾐﾅｲｽﾞ処理",MID(D1233,5,2)="酸性","重防食処理"))</f>
        <v>G504、SS400相当、防食：HDZT77めっき</v>
      </c>
      <c r="D1257" s="208"/>
      <c r="E1257" s="209"/>
      <c r="F1257" s="217" t="str">
        <f t="shared" si="49"/>
        <v>n=1</v>
      </c>
      <c r="G1257" s="218"/>
      <c r="H1257" s="219"/>
      <c r="I1257" s="213" t="s">
        <v>16</v>
      </c>
      <c r="J1257" s="220" t="str">
        <f>IF(OR(D1231=0,D1232="　"),"",MID(F1257,3,2))</f>
        <v>1</v>
      </c>
      <c r="K1257" s="214">
        <f>IFERROR(D1231*J1257,"")</f>
        <v>10</v>
      </c>
    </row>
    <row r="1258" spans="2:11" ht="12" customHeight="1">
      <c r="B1258" s="206" t="str">
        <f>IF(MID(D1235,1,3)="のり面","管付","")&amp;"支圧板"</f>
        <v>管付支圧板</v>
      </c>
      <c r="C1258" s="221" t="str" cm="1">
        <f t="array" ref="C1258">IF(OR(D1231=0,D1232="　"),"","PL"&amp;IF(MID(D1235,1,3)="のり面","P","")&amp;IF(MID(D1232,4,1)="5","5-"&amp;_xlfn.SWITCH(1*MID(LEFT(D1232, LEN(D1232)-1),6,2),1,"1",2,"2",3,"3",4,"4",5,"5",6,"6",7,"7",8,"9",9,"9",10,"10",11,"11",12,"12"),"6-"&amp;_xlfn.SWITCH(1*MID(LEFT(D1232, LEN(D1232)-1),6,2),1,"1",2,"2",3,"3",4,"4",5,"6",6,"6",7,"7",8,"8",9,"9",10,"10",11,"11",12,"12",13,"14",14,"14"))&amp;"、SS400相当、防食："&amp;_xlfn.IFS(MID(D1233,1,3)="防食Ⅱ","HDZT77めっき",MID(D1233,5,2)="塩害","ｱﾙﾐﾅｲｽﾞ処理",MID(D1233,5,2)="酸性","重防食処理"))</f>
        <v>PLP5-4、SS400相当、防食：HDZT77めっき</v>
      </c>
      <c r="D1258" s="208"/>
      <c r="E1258" s="209"/>
      <c r="F1258" s="217" t="str">
        <f t="shared" si="49"/>
        <v>n=1</v>
      </c>
      <c r="G1258" s="218"/>
      <c r="H1258" s="219"/>
      <c r="I1258" s="213" t="s">
        <v>16</v>
      </c>
      <c r="J1258" s="220" t="str">
        <f>IF(OR(D1231=0,D1232="　"),"",MID(F1258,3,2))</f>
        <v>1</v>
      </c>
      <c r="K1258" s="214">
        <f>IFERROR(D1231*J1258,"")</f>
        <v>10</v>
      </c>
    </row>
    <row r="1259" spans="2:11" ht="12" customHeight="1">
      <c r="B1259" s="206" t="s">
        <v>154</v>
      </c>
      <c r="C1259" s="207" t="str">
        <f>IF(OR(D1231=0,D1232="　"),"","G"&amp;MID(LEFT(D1232, LEN(D1232)-1),4,4)&amp;"、NBR45相当")</f>
        <v>G5-4、NBR45相当</v>
      </c>
      <c r="D1259" s="208"/>
      <c r="E1259" s="209"/>
      <c r="F1259" s="217" t="str">
        <f t="shared" si="49"/>
        <v>n=1</v>
      </c>
      <c r="G1259" s="218"/>
      <c r="H1259" s="219"/>
      <c r="I1259" s="213" t="s">
        <v>13</v>
      </c>
      <c r="J1259" s="220" t="str">
        <f>IF(OR(D1231=0,D1232="　"),"",MID(F1259,3,2))</f>
        <v>1</v>
      </c>
      <c r="K1259" s="214">
        <f>IFERROR(D1231*J1259,"")</f>
        <v>10</v>
      </c>
    </row>
    <row r="1260" spans="2:11" ht="12" customHeight="1">
      <c r="B1260" s="206" t="str" cm="1">
        <f t="array" ref="B1260">_xlfn.IFS(OR(D1231=0,D1232="　"),"",MID(D1234,1,3)="アルミ","頭部防錆油",MID(D1234,1,3)&lt;&gt;"アルミ","余長キャップ")</f>
        <v>余長キャップ</v>
      </c>
      <c r="C1260" s="221" t="str" cm="1">
        <f t="array" ref="C1260">_xlfn.IFS(OR(D1231=0,D1232="　"),"",MID(D1234,1,3)="アルミ","PCコートC",MID(D1234,1,3)&lt;&gt;"アルミ","TC"&amp;MID(D1232,4,1)&amp;"、高密度ポチエチレン")</f>
        <v>TC5、高密度ポチエチレン</v>
      </c>
      <c r="D1260" s="208"/>
      <c r="E1260" s="209"/>
      <c r="F1260" s="217" t="str" cm="1">
        <f t="array" ref="F1260">_xlfn.IFS(OR(D1231=0,D1232="　"),"",MID(D1234,1,3)="アルミ","W="&amp;IF(MID(D1232,4,1)="5",_xlfn.SWITCH(1*MID(LEFT(D1232, LEN(D1232)-1),6,2),1,1.9,2,1.3,3,1.3,4,1.3,5,1.6,6,1.6,7,1.6,8,3.1,9,3.1,10,3.1,11,3.1,12,3.1),"G6"&amp;_xlfn.SWITCH(1*MID(LEFT(D1232, LEN(D1232)-1),6,2),1,1.8,2,1.3,3,1.8,4,1.8,5,3.3,6,3.3,7,3.3,8,9.9,9,9.9,10,9.9,11,9.9,12,9.9,13,9.9,14,9.9)),MID(D1234,1,3)&lt;&gt;"アルミ","n=1")</f>
        <v>n=1</v>
      </c>
      <c r="G1260" s="218"/>
      <c r="H1260" s="219"/>
      <c r="I1260" s="213" t="str" cm="1">
        <f t="array" ref="I1260">_xlfn.IFS(OR(D1231=0,D1232="　"),"",MID(D1234,1,3)="アルミ","kg",MID(D1234,1,3)&lt;&gt;"アルミ","式")</f>
        <v>式</v>
      </c>
      <c r="J1260" s="220" t="str">
        <f>IF(OR(D1231=0,D1232="　"),"",MID(F1260,3,4))</f>
        <v>1</v>
      </c>
      <c r="K1260" s="214">
        <f>IFERROR(D1231*J1260,"")</f>
        <v>10</v>
      </c>
    </row>
    <row r="1261" spans="2:11" ht="12" customHeight="1">
      <c r="B1261" s="206" t="s">
        <v>9</v>
      </c>
      <c r="C1261" s="207" t="str" cm="1">
        <f t="array" ref="C1261">IF(OR(D1231=0,D1232="　"),"",IF(MID(D1232,4,1)="5","PS5-"&amp;_xlfn.SWITCH(1*MID(LEFT(D1232, LEN(D1232)-1),6,2),1,"7",2,"2",3,"3",4,"4",5,"7",6,"7",7,"7",8,"12",9,"12",10,"12",11,"12",12,"12"),"PS6-"&amp;_xlfn.SWITCH(1*MID(LEFT(D1232, LEN(D1232)-1),6,2),1,"7",2,"2",3,"3",4,"4",5,"7",6,"7",7,"7",8,"12",9,"12",10,"12",11,"12",12,"12",13,"14",14,"14"))&amp;"、高密度ポリエチレン")</f>
        <v>PS5-4、高密度ポリエチレン</v>
      </c>
      <c r="D1261" s="208"/>
      <c r="E1261" s="209"/>
      <c r="F1261" s="217" t="str">
        <f>"n=2"</f>
        <v>n=2</v>
      </c>
      <c r="G1261" s="218"/>
      <c r="H1261" s="219"/>
      <c r="I1261" s="213" t="s">
        <v>13</v>
      </c>
      <c r="J1261" s="220" t="str">
        <f>IF(OR(D1231=0,D1232="　"),"",MID(F1261,3,2))</f>
        <v>2</v>
      </c>
      <c r="K1261" s="214">
        <f>IFERROR(D1231*J1261,"")</f>
        <v>20</v>
      </c>
    </row>
    <row r="1262" spans="2:11" ht="12" customHeight="1">
      <c r="B1262" s="206" t="s">
        <v>2</v>
      </c>
      <c r="C1262" s="207" t="str" cm="1">
        <f t="array" ref="C1262">IF(OR(D1231=0,D1232="　"),"",IF(MID(D1232,4,1)="5","S5-"&amp;_xlfn.IFS(1*MID(LEFT(D1232, LEN(D1232)-1),6,2)&lt;6,"5",1*MID(LEFT(D1232, LEN(D1232)-1),6,2)&lt;9,"8",1*MID(LEFT(D1232, LEN(D1232)-1),6,2)&gt;8,"12"),"S6-"&amp;_xlfn.IFS(1*MID(LEFT(D1232, LEN(D1232)-1),6,2)&lt;4,"3",1*MID(LEFT(D1232, LEN(D1232)-1),6,2)&lt;7,"6",1*MID(LEFT(D1232, LEN(D1232)-1),6,2)&lt;10,"9",1*MID(LEFT(D1232, LEN(D1232)-1),6,2)&lt;13,"12",1*MID(LEFT(D1232, LEN(D1232)-1),6,2)&gt;12,"14"))&amp;"、ポリプロピレン")</f>
        <v>S5-5、ポリプロピレン</v>
      </c>
      <c r="D1262" s="208"/>
      <c r="E1262" s="209"/>
      <c r="F1262" s="222" t="s">
        <v>155</v>
      </c>
      <c r="G1262" s="211"/>
      <c r="H1262" s="212"/>
      <c r="I1262" s="213" t="s">
        <v>13</v>
      </c>
      <c r="J1262" s="206">
        <f>IF(OR(D1231=0,D1232="　"),"",MROUND((D1240-0.4)/1,1))</f>
        <v>4</v>
      </c>
      <c r="K1262" s="214">
        <f>IFERROR(D1231*J1262,"")</f>
        <v>40</v>
      </c>
    </row>
    <row r="1263" spans="2:11" ht="12" customHeight="1">
      <c r="B1263" s="206" t="s">
        <v>1</v>
      </c>
      <c r="C1263" s="207" t="str" cm="1">
        <f t="array" ref="C1263">IF(OR(D1231=0,D1232="　"),"",IF(MID(D1232,4,1)="5","PC5-"&amp;_xlfn.IFS(1*MID(LEFT(D1232, LEN(D1232)-1),6,2)&lt;5,"4",1*MID(LEFT(D1232, LEN(D1232)-1),6,2)&lt;8,"7",1*MID(LEFT(D1232, LEN(D1232)-1),6,2)&lt;10,"9",1*MID(LEFT(D1232, LEN(D1232)-1),6,2)&gt;9,"12"),"PC6-"&amp;_xlfn.IFS(1*MID(LEFT(D1232, LEN(D1232)-1),6,2)&lt;4,"3",1*MID(LEFT(D1232, LEN(D1232)-1),6,2)&lt;8,"7",1*MID(LEFT(D1232, LEN(D1232)-1),6,2)&lt;13,"12",1*MID(LEFT(D1232, LEN(D1232)-1),6,2)&gt;12,"14"))&amp;"、ポリプロピレン")</f>
        <v>PC5-4、ポリプロピレン</v>
      </c>
      <c r="D1263" s="208"/>
      <c r="E1263" s="209"/>
      <c r="F1263" s="217" t="str">
        <f>"n=1"</f>
        <v>n=1</v>
      </c>
      <c r="G1263" s="218"/>
      <c r="H1263" s="219"/>
      <c r="I1263" s="213" t="s">
        <v>13</v>
      </c>
      <c r="J1263" s="220" t="str">
        <f>IF(OR(D1231=0,D1232="　"),"",MID(F1263,3,2))</f>
        <v>1</v>
      </c>
      <c r="K1263" s="214">
        <f>IFERROR(D1231*J1263,"")</f>
        <v>10</v>
      </c>
    </row>
    <row r="1264" spans="2:11" ht="12" customHeight="1">
      <c r="B1264" s="206" t="s">
        <v>3</v>
      </c>
      <c r="C1264" s="207" t="str">
        <f>IF(OR(D1231=0,D1232="　"),"","66ナイロン")</f>
        <v>66ナイロン</v>
      </c>
      <c r="D1264" s="208"/>
      <c r="E1264" s="209"/>
      <c r="F1264" s="222" t="s">
        <v>156</v>
      </c>
      <c r="G1264" s="211"/>
      <c r="H1264" s="212"/>
      <c r="I1264" s="213" t="s">
        <v>14</v>
      </c>
      <c r="J1264" s="206">
        <f>IF(OR(D1231=0,D1232="　"),"",2*J1262)</f>
        <v>8</v>
      </c>
      <c r="K1264" s="214">
        <f>IFERROR(D1231*J1264,"")</f>
        <v>80</v>
      </c>
    </row>
    <row r="1265" spans="2:11" ht="12" customHeight="1">
      <c r="B1265" s="206" t="s">
        <v>4</v>
      </c>
      <c r="C1265" s="207" t="str">
        <f>IF(OR(D1231=0,D1232="　"),"","フィラメントテープ")</f>
        <v>フィラメントテープ</v>
      </c>
      <c r="D1265" s="208"/>
      <c r="E1265" s="209"/>
      <c r="F1265" s="222" t="str">
        <f>IF(OR(D1231=0,D1232="　"),"","L=((自由長+緊張部長)÷@1.0m)×テープ係数"&amp;IF(MID(D1232,4,1)="5",_xlfn.IFS(1*MID(LEFT(D1232, LEN(D1232)-1),6,2)&lt;4,"0.8",1*MID(LEFT(D1232, LEN(D1232)-1),6,2)&lt;7,"1.0",1*MID(LEFT(D1232, LEN(D1232)-1),6,2)&lt;10,"1.2",1*MID(LEFT(D1232, LEN(D1232)-1),6,2)&lt;13,"1.4"),_xlfn.IFS(1*MID(LEFT(D1232, LEN(D1232)-1),6,2)&lt;4,"1.0",1*MID(LEFT(D1232, LEN(D1232)-1),6,2)&lt;7,"1.2",1*MID(LEFT(D1232, LEN(D1232)-1),6,2)&lt;10,"1.4",1*MID(LEFT(D1232, LEN(D1232)-1),6,2)&lt;15,"1.8")))</f>
        <v>L=((自由長+緊張部長)÷@1.0m)×テープ係数1.0</v>
      </c>
      <c r="G1265" s="211"/>
      <c r="H1265" s="212"/>
      <c r="I1265" s="213" t="s">
        <v>12</v>
      </c>
      <c r="J1265" s="223">
        <f>IF(OR(D1231=0,D1232="　"),"",MROUND((SUM(D1241,D1242))/1*RIGHT(F1265, 3),0.1))</f>
        <v>5.5</v>
      </c>
      <c r="K1265" s="214">
        <f>IFERROR(D1231*J1265,"")</f>
        <v>55</v>
      </c>
    </row>
    <row r="1266" spans="2:11" ht="12" customHeight="1">
      <c r="B1266" s="206" t="s">
        <v>0</v>
      </c>
      <c r="C1266" s="207" t="str">
        <f>IF(OR(D1231=0,D1232="　"),"","16/20、高密度ポリエチレン")</f>
        <v>16/20、高密度ポリエチレン</v>
      </c>
      <c r="D1266" s="208"/>
      <c r="E1266" s="209"/>
      <c r="F1266" s="210" t="s">
        <v>33</v>
      </c>
      <c r="G1266" s="211"/>
      <c r="H1266" s="212"/>
      <c r="I1266" s="213" t="s">
        <v>12</v>
      </c>
      <c r="J1266" s="214">
        <f>IF(OR(D1231=0,D1232="　"),"",MROUND(D1244,0.1))</f>
        <v>9.7000000000000011</v>
      </c>
      <c r="K1266" s="214">
        <f>IFERROR(D1231*J1266,"")</f>
        <v>97.000000000000014</v>
      </c>
    </row>
    <row r="1267" spans="2:11" ht="12" customHeight="1">
      <c r="B1267" s="206" t="str" cm="1">
        <f t="array" ref="B1267">_xlfn.IFS(OR(D1231=0,D1232="　",MID(D1235,1,2)="なし",MID(D1235,1,3)="受圧体"),"",MID(D1235,1,3)="のり面","のり面角度台座",MID(D1235,1,3)="構造物","構造物壁面台座",MID(D1235,1,3)="土留め","土留め台座")</f>
        <v>のり面角度台座</v>
      </c>
      <c r="C1267" s="210" t="str" cm="1">
        <f t="array" ref="C1267">IF(OR(D1231=0,D1232="　",MID(D1235,1,2)="なし",MID(D1235,1,3)="受圧体"),"",_xlfn.IFS(MID(D1235,1,3)="のり面",IF(1*MID(D1232,4,1)=5,_xlfn.IFS(1*MID(LEFT(D1232, LEN(D1232)-1),6,2)&lt;5,"ST140",1*MID(LEFT(D1232, LEN(D1232)-1),6,2)&lt;8,"ST170",1*MID(LEFT(D1232, LEN(D1232)-1),6,2)&lt;13,"ST220"),_xlfn.IFS(1*MID(LEFT(D1232, LEN(D1232)-1),6,2)&lt;4,"ST140",1*MID(LEFT(D1232, LEN(D1232)-1),6,2)&lt;5,"ST170",1*MID(LEFT(D1232, LEN(D1232)-1),6,2)&lt;8,"ST220",1*MID(LEFT(D1232, LEN(D1232)-1),6,2)&lt;15,"非該当"))&amp;"、FCD450相当、防食："&amp;_xlfn.IFS(MID(D1233,1,3)="防食Ⅱ","HDZT77めっき",MID(D1233,5,2)="塩害","ｱﾙﾐﾅｲｽﾞ処理",MID(D1233,5,2)="酸性","重防食処理"),OR(MID(D1235,1,3)="構造物",MID(D1235,1,3)="土留め"),D1232&amp;"用"&amp;IF(OR(MID(D1235,1,3)="構造物",D1236="　"),"",D1236)&amp;"、防食："&amp;_xlfn.IFS(MID(D1233,1,3)="防食Ⅱ","HDZT77めっき",MID(D1233,5,2)="塩害","ｱﾙﾐﾅｲｽﾞ処理",MID(D1233,5,2)="酸性","重防食処理")))</f>
        <v>ST140、FCD450相当、防食：HDZT77めっき</v>
      </c>
      <c r="D1267" s="208"/>
      <c r="E1267" s="209"/>
      <c r="F1267" s="217" t="str">
        <f>IF(OR(D1235="なし",D1235="受圧体のみ"),"","n=1")</f>
        <v>n=1</v>
      </c>
      <c r="G1267" s="218"/>
      <c r="H1267" s="219"/>
      <c r="I1267" s="213" t="str">
        <f>IF(OR(D1231=0,D1232="　",B1267=""),"","台")</f>
        <v>台</v>
      </c>
      <c r="J1267" s="220" t="str">
        <f>IF(OR(D1231=0,D1232="　"),"",MID(F1267,3,2))</f>
        <v>1</v>
      </c>
      <c r="K1267" s="214">
        <f>IFERROR(D1231*J1267,"")</f>
        <v>10</v>
      </c>
    </row>
    <row r="1268" spans="2:11" ht="12" customHeight="1">
      <c r="B1268" s="206" t="str">
        <f>IF(OR(D1231=0,D1232="　",MID(D1235,1,3)&lt;&gt;"のり面"),"","補剛板")</f>
        <v>補剛板</v>
      </c>
      <c r="C1268" s="210" t="str" cm="1">
        <f t="array" ref="C1268">IF(OR(D1231=0,D1232="　",MID(D1235,1,3)&lt;&gt;"のり面"),"",IF(MID(D1232,4,1)="5","□"&amp;_xlfn.SWITCH(1*MID(LEFT(D1232, LEN(D1232)-1),6,2),1,"210φ131t12",2,"210φ131t12",3,"240φ131t12",4,"270φ131t12",5,"280φ143t12",6,"310φ143t16",7,"350φ143t19",8,"350φ180t19",9,"350φ180t19",10,"350φ180t19",11,"350φ180t22",12,"350φ180t22"),"□"&amp;_xlfn.SWITCH(1*MID(LEFT(D1232, LEN(D1232)-1),6,2),1,"210,φ131,t12",2,"240,φ131,t12",3,"270,φ131,t16",4,"300,φ143,t16",5,"350,φ180,t16",6,"350,φ180,t16",7,"350,φ180,t19",8,"400,φ──,t12",9,"400,φ──,t12",10,"400,φ──,t12",11,"400,φ──,t12",12,"400,φ──,t12",13,"400,φ──,t12",14,"400,φ──,t12"))&amp;"、SS400相当、防食："&amp;_xlfn.IFS(MID(D1233,1,3)="防食Ⅱ","HDZT77めっき",MID(D1233,5,2)="塩害","ｱﾙﾐﾅｲｽﾞ処理",MID(D1233,5,2)="酸性","重防食処理"))</f>
        <v>□270φ131t12、SS400相当、防食：HDZT77めっき</v>
      </c>
      <c r="D1268" s="208"/>
      <c r="E1268" s="209"/>
      <c r="F1268" s="217" t="str">
        <f>IF(OR(D1231=0,D1232="　",MID(D1235,1,3)&lt;&gt;"のり面"),"","n=1")</f>
        <v>n=1</v>
      </c>
      <c r="G1268" s="218"/>
      <c r="H1268" s="219"/>
      <c r="I1268" s="213" t="str">
        <f>IF(OR(D1231=0,D1232="　",B1268="",MID(D1235,1,3)&lt;&gt;"のり面"),"","枚")</f>
        <v>枚</v>
      </c>
      <c r="J1268" s="220" t="str">
        <f>IF(OR(D1231=0,D1232="　"),"",MID(F1268,3,2))</f>
        <v>1</v>
      </c>
      <c r="K1268" s="214">
        <f>IFERROR(D1231*J1268,"")</f>
        <v>10</v>
      </c>
    </row>
    <row r="1269" spans="2:11" ht="12" customHeight="1">
      <c r="B1269" s="206" t="str" cm="1">
        <f t="array" ref="B1269">_xlfn.IFS(OR(D1231=0,D1232="　"),"",MID(D1234,1,3)="アルミ","",MID(D1234,1,3)&lt;&gt;"アルミ","テンドン補修用塗料")</f>
        <v>テンドン補修用塗料</v>
      </c>
      <c r="C1269" s="210" t="str" cm="1">
        <f t="array" ref="C1269">_xlfn.IFS(OR(D1231=0,D1232="　"),"",MID(D1234,1,3)="アルミ","",MID(D1234,1,3)&lt;&gt;"アルミ","エポキシ樹脂")</f>
        <v>エポキシ樹脂</v>
      </c>
      <c r="D1269" s="208"/>
      <c r="E1269" s="209"/>
      <c r="F1269" s="217" t="str" cm="1">
        <f t="array" ref="F1269">_xlfn.IFS(OR(D1231=0,D1232="　"),"",MID(D1234,1,3)="アルミ","",MID(D1234,1,3)&lt;&gt;"アルミ","W=PC鋼より線本数×"&amp;IF(MID(D1232,4,1)="5","0.28","0.40"))</f>
        <v>W=PC鋼より線本数×0.28</v>
      </c>
      <c r="G1269" s="218"/>
      <c r="H1269" s="219"/>
      <c r="I1269" s="213" t="str" cm="1">
        <f t="array" ref="I1269">_xlfn.IFS(OR(D1231=0,D1232="　"),"",MID(D1234,1,3)="アルミ","",MID(D1234,1,3)&lt;&gt;"アルミ","g")</f>
        <v>g</v>
      </c>
      <c r="J1269" s="224" cm="1">
        <f t="array" ref="J1269">_xlfn.IFS(OR(D1231=0,D1232="　"),"",MID(D1234,1,3)="アルミ","",MID(D1234,1,3)&lt;&gt;"アルミ",MID(LEFT(D1232, LEN(D1232)-1),6,2)*IF(MID(D1232,4,1)="5",0.28,0.4))</f>
        <v>1.1200000000000001</v>
      </c>
      <c r="K1269" s="214">
        <f>IFERROR(D1231*J1269,"")</f>
        <v>11.200000000000001</v>
      </c>
    </row>
    <row r="1270" spans="2:11" ht="12" customHeight="1">
      <c r="B1270" s="206" t="str" cm="1">
        <f t="array" ref="B1270">_xlfn.IFS(OR(D1231=0,D1232="　"),"",MID(D1234,1,3)="アルミ","",MID(D1234,1,3)&lt;&gt;"アルミ","長期防錆スプレー")</f>
        <v>長期防錆スプレー</v>
      </c>
      <c r="C1270" s="210" t="str" cm="1">
        <f t="array" ref="C1270">_xlfn.IFS(OR(D1231=0,D1232="　"),"",MID(D1234,1,3)="アルミ","",MID(D1234,1,3)&lt;&gt;"アルミ","防錆オイル")</f>
        <v>防錆オイル</v>
      </c>
      <c r="D1270" s="208"/>
      <c r="E1270" s="209"/>
      <c r="F1270" s="217" t="str" cm="1">
        <f t="array" ref="F1270">_xlfn.IFS(OR(D1231=0,D1232="　"),"",MID(D1234,1,3)="アルミ","",MID(D1234,1,3)&lt;&gt;"アルミ","n=0.01×(PC鋼より線本数+"&amp;IF(MID(D1232,4,1)="5","6","12")&amp;")")</f>
        <v>n=0.01×(PC鋼より線本数+6)</v>
      </c>
      <c r="G1270" s="218"/>
      <c r="H1270" s="219"/>
      <c r="I1270" s="213" t="str" cm="1">
        <f t="array" ref="I1270">_xlfn.IFS(OR(D1231=0,D1232="　"),"",MID(D1234,1,3)="アルミ","",MID(D1234,1,3)&lt;&gt;"アルミ","缶")</f>
        <v>缶</v>
      </c>
      <c r="J1270" s="224" cm="1">
        <f t="array" ref="J1270">_xlfn.IFS(OR(D1231=0,D1232="　"),"",MID(D1234,1,3)="アルミ","",MID(D1234,1,3)&lt;&gt;"アルミ",0.01*(MID(LEFT(D1232, LEN(D1232)-1),6,2)+IF(MID(D1232,4,1)="5",6,12)))</f>
        <v>0.1</v>
      </c>
      <c r="K1270" s="214">
        <f>IFERROR(D1231*J1270,"")</f>
        <v>1</v>
      </c>
    </row>
    <row r="1271" spans="2:11" ht="12" customHeight="1">
      <c r="B1271" s="206" t="str">
        <f>IF(OR(D1231=0,D1232="　",D1237="なし"),"","フリーパッカー注入ホース")</f>
        <v/>
      </c>
      <c r="C1271" s="207" t="str">
        <f>IF(OR(D1231=0,D1232="　",B1271=""),"","16/20、高密度ポリエチレン")</f>
        <v/>
      </c>
      <c r="D1271" s="208"/>
      <c r="E1271" s="209"/>
      <c r="F1271" s="210" t="str">
        <f>IF(B1271="","","L=自由長+緊張部長")</f>
        <v/>
      </c>
      <c r="G1271" s="211"/>
      <c r="H1271" s="212"/>
      <c r="I1271" s="213" t="str">
        <f>IF(OR(D1231=0,D1232="　",B1271=""),"","m")</f>
        <v/>
      </c>
      <c r="J1271" s="214" t="str">
        <f>IF(OR(D1231=0,D1232="　"),"",IF(B1271="","",MROUND(D1241+D1242,0.1)))</f>
        <v/>
      </c>
      <c r="K1271" s="214" t="str">
        <f>IFERROR(D1231*J1271,"")</f>
        <v/>
      </c>
    </row>
    <row r="1272" spans="2:11" ht="12" customHeight="1">
      <c r="B1272" s="225" t="str">
        <f>IF(OR(D1231=0,D1232="　",D1237="なし"),"","フリーパッカー")</f>
        <v/>
      </c>
      <c r="C1272" s="217" t="str" cm="1">
        <f t="array" ref="C1272">IF(OR(D1231=0,D1232="　",B1271=""),"",_xlfn.SWITCH(D1246,90,"PA-170",115,"PA-200",135,"PA-240",146,"PA-240",165,"PA-350")&amp;"、織布")</f>
        <v/>
      </c>
      <c r="D1272" s="208"/>
      <c r="E1272" s="209"/>
      <c r="F1272" s="226" t="str">
        <f>IF(B1272="","","L=自由長+0.5m")</f>
        <v/>
      </c>
      <c r="G1272" s="227"/>
      <c r="H1272" s="228"/>
      <c r="I1272" s="213" t="str">
        <f>IF(OR(D1232=0,D1233="　",B1272=""),"","m")</f>
        <v/>
      </c>
      <c r="J1272" s="214" t="str">
        <f>IF(OR(D1231=0,D1232="　"),"",IF(B1272="","",MROUND(D1241+0.5,0.1)))</f>
        <v/>
      </c>
      <c r="K1272" s="214" t="str">
        <f>IFERROR(D1231*J1272,"")</f>
        <v/>
      </c>
    </row>
    <row r="1273" spans="2:11" ht="12" customHeight="1">
      <c r="B1273" s="206" t="str">
        <f>IF(OR(D1231=0,D1232="　",D1237="なし"),"","パッカー取付加工")</f>
        <v/>
      </c>
      <c r="C1273" s="207"/>
      <c r="D1273" s="208"/>
      <c r="E1273" s="209"/>
      <c r="F1273" s="217" t="str">
        <f>IF(B1273="","","n=1")</f>
        <v/>
      </c>
      <c r="G1273" s="218"/>
      <c r="H1273" s="219"/>
      <c r="I1273" s="213" t="str">
        <f>IF(OR(D1233=0,D1234="　",B1273=""),"","式")</f>
        <v/>
      </c>
      <c r="J1273" s="220" t="str">
        <f>IF(OR(D1231=0,D1232="　"),"",MID(F1273,3,2))</f>
        <v/>
      </c>
      <c r="K1273" s="206" t="str">
        <f>IFERROR(D1231*J1273,"")</f>
        <v/>
      </c>
    </row>
    <row r="1274" spans="2:11" ht="12" customHeight="1">
      <c r="B1274" s="229"/>
      <c r="C1274" s="230"/>
      <c r="D1274" s="231"/>
      <c r="E1274" s="232"/>
      <c r="F1274" s="233"/>
      <c r="G1274" s="234"/>
      <c r="H1274" s="235"/>
      <c r="I1274" s="236"/>
      <c r="J1274" s="237"/>
      <c r="K1274" s="229"/>
    </row>
    <row r="1275" spans="2:11" ht="12" customHeight="1">
      <c r="B1275" s="238" t="s">
        <v>30</v>
      </c>
      <c r="C1275" s="239" t="s">
        <v>31</v>
      </c>
      <c r="D1275" s="240"/>
      <c r="E1275" s="241"/>
      <c r="F1275" s="242" t="s">
        <v>157</v>
      </c>
      <c r="G1275" s="243"/>
      <c r="H1275" s="244"/>
      <c r="I1275" s="245" t="s">
        <v>55</v>
      </c>
      <c r="J1275" s="246">
        <f>IFERROR(MROUND(0.25*PI()*(0.001*D1246)^2*(D1239+D1240+D1245)*(1+2.2),0.01),"")</f>
        <v>0.17</v>
      </c>
      <c r="K1275" s="246">
        <f>IFERROR(D1231*J1275,"")</f>
        <v>1.7000000000000002</v>
      </c>
    </row>
    <row r="1277" spans="2:11" ht="12" customHeight="1">
      <c r="B1277" s="247" t="s">
        <v>136</v>
      </c>
      <c r="C1277" s="247"/>
      <c r="D1277" s="247"/>
      <c r="F1277" s="163"/>
      <c r="G1277" s="164"/>
      <c r="H1277" s="164"/>
    </row>
    <row r="1278" spans="2:11" ht="12" customHeight="1">
      <c r="B1278" s="15" t="s">
        <v>111</v>
      </c>
      <c r="C1278" s="15"/>
      <c r="D1278" s="1"/>
      <c r="E1278" s="1"/>
      <c r="H1278" s="119"/>
      <c r="J1278" s="118"/>
    </row>
    <row r="1279" spans="2:11" ht="12" customHeight="1">
      <c r="B1279" s="165" t="s">
        <v>166</v>
      </c>
      <c r="C1279" s="3"/>
      <c r="D1279" s="1"/>
      <c r="E1279" s="1"/>
      <c r="F1279" s="8"/>
      <c r="G1279" s="8"/>
      <c r="H1279" s="102"/>
      <c r="I1279" s="28"/>
      <c r="J1279" s="118"/>
    </row>
    <row r="1280" spans="2:11" ht="12" customHeight="1">
      <c r="B1280" s="15" t="s">
        <v>40</v>
      </c>
      <c r="C1280" s="3"/>
      <c r="D1280" s="1"/>
      <c r="E1280" s="1"/>
      <c r="F1280" s="15" t="s">
        <v>54</v>
      </c>
      <c r="G1280" s="15"/>
      <c r="H1280" s="102"/>
      <c r="I1280" s="28"/>
    </row>
    <row r="1281" spans="2:11" ht="12" customHeight="1">
      <c r="B1281" s="2" t="s">
        <v>53</v>
      </c>
      <c r="C1281" s="2" t="s">
        <v>21</v>
      </c>
      <c r="D1281" s="2" t="s">
        <v>22</v>
      </c>
      <c r="E1281" s="17"/>
      <c r="F1281" s="49" t="s">
        <v>41</v>
      </c>
      <c r="G1281" s="97" t="s">
        <v>59</v>
      </c>
      <c r="H1281" s="49" t="s">
        <v>44</v>
      </c>
      <c r="I1281" s="2" t="s">
        <v>21</v>
      </c>
      <c r="J1281" s="49" t="s">
        <v>138</v>
      </c>
      <c r="K1281" s="2" t="s">
        <v>28</v>
      </c>
    </row>
    <row r="1282" spans="2:11" ht="12" customHeight="1">
      <c r="B1282" s="166" t="s">
        <v>25</v>
      </c>
      <c r="C1282" s="18" t="s">
        <v>24</v>
      </c>
      <c r="D1282" s="167">
        <v>10</v>
      </c>
      <c r="E1282" s="19"/>
      <c r="F1282" s="168" t="s">
        <v>43</v>
      </c>
      <c r="G1282" s="169" t="s">
        <v>113</v>
      </c>
      <c r="H1282" s="88" t="str" cm="1">
        <f t="array" ref="H1282">_xlfn.IFS(AND(F1282&lt;&gt;"非削孔",F1282&lt;&gt;"無設定"),D1297,F1282="非削孔",IF(MID(D1286,1,3)="土留め","非削孔","箱抜き"),F1282="無設定","無設定")</f>
        <v>箱抜き</v>
      </c>
      <c r="I1282" s="23" t="str">
        <f>IF(F1282="無設定","","m")</f>
        <v>m</v>
      </c>
      <c r="J1282" s="170">
        <v>0.5</v>
      </c>
      <c r="K1282" s="30">
        <f>D1282*J1282</f>
        <v>5</v>
      </c>
    </row>
    <row r="1283" spans="2:11" ht="12" customHeight="1">
      <c r="B1283" s="171" t="s">
        <v>37</v>
      </c>
      <c r="C1283" s="50" t="s">
        <v>38</v>
      </c>
      <c r="D1283" s="172" t="s">
        <v>159</v>
      </c>
      <c r="E1283" s="173"/>
      <c r="F1283" s="174" t="s">
        <v>49</v>
      </c>
      <c r="G1283" s="169" t="s">
        <v>114</v>
      </c>
      <c r="H1283" s="88" cm="1">
        <f t="array" ref="H1283">_xlfn.IFS(AND(F1283&lt;&gt;"非削孔",F1283&lt;&gt;"無設定"),D1297,F1283="非削孔","箱抜き",F1283="無設定","無設定")</f>
        <v>90</v>
      </c>
      <c r="I1283" s="23" t="str">
        <f t="shared" ref="I1283:I1291" si="50">IF(F1283="無設定","","m")</f>
        <v>m</v>
      </c>
      <c r="J1283" s="170">
        <v>2.64</v>
      </c>
      <c r="K1283" s="30">
        <f>D1282*J1283</f>
        <v>26.400000000000002</v>
      </c>
    </row>
    <row r="1284" spans="2:11" ht="12" customHeight="1">
      <c r="B1284" s="52" t="s">
        <v>39</v>
      </c>
      <c r="C1284" s="91" t="s">
        <v>38</v>
      </c>
      <c r="D1284" s="175" t="s">
        <v>60</v>
      </c>
      <c r="E1284" s="140"/>
      <c r="F1284" s="174" t="s">
        <v>49</v>
      </c>
      <c r="G1284" s="169" t="s">
        <v>115</v>
      </c>
      <c r="H1284" s="88" cm="1">
        <f t="array" ref="H1284">_xlfn.IFS(AND(F1284&lt;&gt;"非削孔",F1284&lt;&gt;"無設定"),D1297,F1284="非削孔","箱抜き",F1284="無設定","無設定")</f>
        <v>90</v>
      </c>
      <c r="I1284" s="23" t="str">
        <f t="shared" si="50"/>
        <v>m</v>
      </c>
      <c r="J1284" s="170">
        <v>5.36</v>
      </c>
      <c r="K1284" s="30">
        <f>D1282*J1284</f>
        <v>53.6</v>
      </c>
    </row>
    <row r="1285" spans="2:11" ht="12" customHeight="1">
      <c r="B1285" s="147" t="s">
        <v>140</v>
      </c>
      <c r="C1285" s="91" t="s">
        <v>38</v>
      </c>
      <c r="D1285" s="176" t="s">
        <v>141</v>
      </c>
      <c r="E1285" s="141"/>
      <c r="F1285" s="174" t="s">
        <v>48</v>
      </c>
      <c r="G1285" s="169"/>
      <c r="H1285" s="88" t="str" cm="1">
        <f t="array" ref="H1285">_xlfn.IFS(AND(F1285&lt;&gt;"非削孔",F1285&lt;&gt;"無設定"),D1297,F1285="非削孔","箱抜き",F1285="無設定","無設定")</f>
        <v>無設定</v>
      </c>
      <c r="I1285" s="23" t="str">
        <f t="shared" si="50"/>
        <v/>
      </c>
      <c r="J1285" s="170">
        <v>0</v>
      </c>
      <c r="K1285" s="30">
        <f>D1282*J1285</f>
        <v>0</v>
      </c>
    </row>
    <row r="1286" spans="2:11" ht="12" customHeight="1">
      <c r="B1286" s="147" t="s">
        <v>142</v>
      </c>
      <c r="C1286" s="91" t="s">
        <v>38</v>
      </c>
      <c r="D1286" s="177" t="s">
        <v>160</v>
      </c>
      <c r="E1286" s="21"/>
      <c r="F1286" s="174" t="s">
        <v>48</v>
      </c>
      <c r="G1286" s="169"/>
      <c r="H1286" s="88" t="str" cm="1">
        <f t="array" ref="H1286">_xlfn.IFS(AND(F1286&lt;&gt;"非削孔",F1286&lt;&gt;"無設定"),D1297,F1286="非削孔","箱抜き",F1286="無設定","無設定")</f>
        <v>無設定</v>
      </c>
      <c r="I1286" s="23" t="str">
        <f t="shared" si="50"/>
        <v/>
      </c>
      <c r="J1286" s="170">
        <v>0</v>
      </c>
      <c r="K1286" s="30">
        <f>D1282*J1286</f>
        <v>0</v>
      </c>
    </row>
    <row r="1287" spans="2:11" ht="12" customHeight="1">
      <c r="B1287" s="114" t="str">
        <f>IF(MID(D1286,1,3)="土留め",D1286&amp;"の種類","")</f>
        <v/>
      </c>
      <c r="C1287" s="91" t="s">
        <v>38</v>
      </c>
      <c r="D1287" s="178" t="s">
        <v>71</v>
      </c>
      <c r="E1287" s="21"/>
      <c r="F1287" s="174" t="s">
        <v>48</v>
      </c>
      <c r="G1287" s="169"/>
      <c r="H1287" s="88" t="str" cm="1">
        <f t="array" ref="H1287">_xlfn.IFS(AND(F1287&lt;&gt;"非削孔",F1287&lt;&gt;"無設定"),D1297,F1287="非削孔","箱抜き",F1287="無設定","無設定")</f>
        <v>無設定</v>
      </c>
      <c r="I1287" s="23" t="str">
        <f t="shared" si="50"/>
        <v/>
      </c>
      <c r="J1287" s="170">
        <v>0</v>
      </c>
      <c r="K1287" s="30">
        <f>D1282*J1287</f>
        <v>0</v>
      </c>
    </row>
    <row r="1288" spans="2:11" ht="12" customHeight="1">
      <c r="B1288" s="179" t="s">
        <v>50</v>
      </c>
      <c r="C1288" s="180" t="s">
        <v>38</v>
      </c>
      <c r="D1288" s="181" t="s">
        <v>51</v>
      </c>
      <c r="E1288" s="182"/>
      <c r="F1288" s="174" t="s">
        <v>48</v>
      </c>
      <c r="G1288" s="169"/>
      <c r="H1288" s="88" t="str" cm="1">
        <f t="array" ref="H1288">_xlfn.IFS(AND(F1288&lt;&gt;"非削孔",F1288&lt;&gt;"無設定"),D1297,F1288="非削孔","箱抜き",F1288="無設定","無設定")</f>
        <v>無設定</v>
      </c>
      <c r="I1288" s="23" t="str">
        <f t="shared" si="50"/>
        <v/>
      </c>
      <c r="J1288" s="170">
        <v>0</v>
      </c>
      <c r="K1288" s="30">
        <f>D1282*J1288</f>
        <v>0</v>
      </c>
    </row>
    <row r="1289" spans="2:11" ht="12" customHeight="1">
      <c r="B1289" s="160" t="str" cm="1">
        <f t="array" ref="B1289">"頭部自由長"&amp;_xlfn.IFS(MID(D1286,1,2)="なし","",MID(D1286,1,3)="受圧体","(受圧体)",MID(D1286,1,3)="のり面","(角度台座＋受圧体)",MID(D1286,1,3)="構造物","(壁面台座)",MID(D1286,1,3)="土留め","(台座+腹起し)")&amp;"　Lfh"</f>
        <v>頭部自由長(角度台座＋受圧体)　Lfh</v>
      </c>
      <c r="C1289" s="155" t="s">
        <v>23</v>
      </c>
      <c r="D1289" s="183">
        <v>0.5</v>
      </c>
      <c r="E1289" s="21"/>
      <c r="F1289" s="174" t="s">
        <v>144</v>
      </c>
      <c r="G1289" s="169"/>
      <c r="H1289" s="88" cm="1">
        <f t="array" ref="H1289">_xlfn.IFS(AND(F1289&lt;&gt;"非削孔",F1289&lt;&gt;"無設定"),D1297,F1289="非削孔","箱抜き",F1289="無設定","無設定")</f>
        <v>90</v>
      </c>
      <c r="I1289" s="23" t="str">
        <f t="shared" si="50"/>
        <v>m</v>
      </c>
      <c r="J1289" s="170">
        <v>0</v>
      </c>
      <c r="K1289" s="30">
        <f>D1282*J1289</f>
        <v>0</v>
      </c>
    </row>
    <row r="1290" spans="2:11" ht="12" customHeight="1">
      <c r="B1290" s="22" t="s">
        <v>108</v>
      </c>
      <c r="C1290" s="23" t="s">
        <v>23</v>
      </c>
      <c r="D1290" s="184">
        <v>4</v>
      </c>
      <c r="E1290" s="21"/>
      <c r="F1290" s="174" t="s">
        <v>48</v>
      </c>
      <c r="G1290" s="169"/>
      <c r="H1290" s="88" t="str" cm="1">
        <f t="array" ref="H1290">_xlfn.IFS(AND(F1290&lt;&gt;"非削孔",F1290&lt;&gt;"無設定"),D1297,F1290="非削孔","箱抜き",F1290="無設定","無設定")</f>
        <v>無設定</v>
      </c>
      <c r="I1290" s="23" t="str">
        <f t="shared" si="50"/>
        <v/>
      </c>
      <c r="J1290" s="170">
        <v>0</v>
      </c>
      <c r="K1290" s="30">
        <f>D1282*J1290</f>
        <v>0</v>
      </c>
    </row>
    <row r="1291" spans="2:11" ht="12" customHeight="1">
      <c r="B1291" s="157" t="s">
        <v>36</v>
      </c>
      <c r="C1291" s="158" t="s">
        <v>23</v>
      </c>
      <c r="D1291" s="185">
        <v>4</v>
      </c>
      <c r="F1291" s="186" t="str" cm="1">
        <f t="array" ref="F1291">INDEX(F1282:H1290,MATCH("無設定",F1282:F1290,0)-1,MATCH(F1281,F1281:H1281,0))</f>
        <v>軟　岩</v>
      </c>
      <c r="G1291" s="100" t="str" cm="1">
        <f t="array" ref="G1291">INDEX(F1282:H1290,MATCH("無設定",F1282:F1290,0)-1,MATCH(G1281,F1281:H1281,0))&amp;"　(先端長 L2d)"</f>
        <v>風化岩 CL　(先端長 L2d)</v>
      </c>
      <c r="H1291" s="88" cm="1">
        <f t="array" ref="H1291">INDEX(F1282:H1290,MATCH("無設定",F1282:F1290,0)-1,MATCH(H1281,F1281:H1281,0))</f>
        <v>90</v>
      </c>
      <c r="I1291" s="23" t="str">
        <f t="shared" si="50"/>
        <v>m</v>
      </c>
      <c r="J1291" s="98">
        <f>D1296</f>
        <v>0.25</v>
      </c>
      <c r="K1291" s="78">
        <f>IFERROR(D1282*J1291,"")</f>
        <v>2.5</v>
      </c>
    </row>
    <row r="1292" spans="2:11" ht="12" customHeight="1">
      <c r="B1292" s="154" t="s">
        <v>145</v>
      </c>
      <c r="C1292" s="155" t="s">
        <v>23</v>
      </c>
      <c r="D1292" s="187">
        <f>IF(OR(D1282=0,D1283="　"),"──",SUM(D1289:D1290))</f>
        <v>4.5</v>
      </c>
      <c r="E1292" s="19"/>
      <c r="F1292" s="188"/>
      <c r="G1292" s="75" t="s">
        <v>124</v>
      </c>
      <c r="H1292" s="103"/>
      <c r="I1292" s="18" t="s">
        <v>23</v>
      </c>
      <c r="J1292" s="74">
        <f>SUMIFS(J1282:J1291,F1282:F1291,"&lt;&gt;非削孔",F1282:F1291,"&lt;&gt;無設定")</f>
        <v>8.25</v>
      </c>
      <c r="K1292" s="95">
        <f>SUMIFS(K1282:K1291,F1282:F1291,"&lt;&gt;非削孔",F1282:F1291,"&lt;&gt;無設定")</f>
        <v>82.5</v>
      </c>
    </row>
    <row r="1293" spans="2:11" ht="12" customHeight="1">
      <c r="B1293" s="146" t="s">
        <v>146</v>
      </c>
      <c r="C1293" s="23" t="s">
        <v>23</v>
      </c>
      <c r="D1293" s="189" cm="1">
        <f t="array" ref="D1293">IF(OR(D1282=0,D1283="　"),"──",IF(MID(D1283,4,1)="5",_xlfn.IFS(1*MID(LEFT(D1283, LEN(D1283)-1),6,2)&lt;8,1,1*MID(LEFT(D1283, LEN(D1283)-1),6,2)&lt;13,1.2),_xlfn.IFS(1*MID(LEFT(D1283, LEN(D1283)-1),6,2)&lt;6,1,1*MID(LEFT(D1283, LEN(D1283)-1),6,2)&lt;15,1.2)))</f>
        <v>1</v>
      </c>
      <c r="E1293" s="19"/>
      <c r="F1293" s="190"/>
      <c r="G1293" s="76" t="s">
        <v>47</v>
      </c>
      <c r="H1293" s="104"/>
      <c r="I1293" s="79" t="s">
        <v>46</v>
      </c>
      <c r="J1293" s="77" t="str">
        <f>IF(OR(D1282=0,D1283="　"),"",IF(SUM(D1290:D1291,D1296)=J1292,"OK","NG"))</f>
        <v>OK</v>
      </c>
      <c r="K1293" s="145" t="str">
        <f>IF(J1293&lt;&gt;"NG","──",J1292-SUM(D1290:D1291,D1296))</f>
        <v>──</v>
      </c>
    </row>
    <row r="1294" spans="2:11" ht="12" customHeight="1">
      <c r="B1294" s="22" t="s">
        <v>125</v>
      </c>
      <c r="C1294" s="23" t="s">
        <v>35</v>
      </c>
      <c r="D1294" s="84">
        <f>IF(OR(D1282=0,D1283="　"),"──",0.2)</f>
        <v>0.2</v>
      </c>
      <c r="F1294" s="191" t="s">
        <v>58</v>
      </c>
      <c r="G1294" s="248" t="s">
        <v>110</v>
      </c>
      <c r="H1294" s="249"/>
      <c r="I1294" s="249"/>
      <c r="J1294" s="249"/>
      <c r="K1294" s="250"/>
    </row>
    <row r="1295" spans="2:11" ht="12" customHeight="1">
      <c r="B1295" s="6" t="s">
        <v>147</v>
      </c>
      <c r="C1295" s="23" t="s">
        <v>23</v>
      </c>
      <c r="D1295" s="60">
        <f>IF(OR(D1282=0,D1283="　"),"──",SUM(D1291:D1294))</f>
        <v>9.6999999999999993</v>
      </c>
    </row>
    <row r="1296" spans="2:11" ht="12" customHeight="1">
      <c r="B1296" s="25" t="s">
        <v>127</v>
      </c>
      <c r="C1296" s="26" t="s">
        <v>23</v>
      </c>
      <c r="D1296" s="27">
        <f>IF(OR(D1282=0,D1283="　"),"──",0.25)</f>
        <v>0.25</v>
      </c>
      <c r="F1296" s="8"/>
      <c r="G1296" s="8"/>
      <c r="H1296" s="102"/>
    </row>
    <row r="1297" spans="2:11" ht="12" customHeight="1">
      <c r="B1297" s="95" t="s">
        <v>123</v>
      </c>
      <c r="C1297" s="18" t="s">
        <v>32</v>
      </c>
      <c r="D1297" s="192">
        <v>90</v>
      </c>
      <c r="E1297" s="193" t="str">
        <f>IF(D1297&lt;D1298,"NG：削孔径不適合","")</f>
        <v/>
      </c>
      <c r="F1297" s="8"/>
      <c r="G1297" s="8"/>
      <c r="H1297" s="102"/>
    </row>
    <row r="1298" spans="2:11" ht="12" customHeight="1">
      <c r="B1298" s="25" t="s">
        <v>122</v>
      </c>
      <c r="C1298" s="26" t="s">
        <v>32</v>
      </c>
      <c r="D1298" s="194" cm="1">
        <f t="array" ref="D1298">IF(OR(D1282=0,D1283="　"),"──",IF(D1288="なし",IF(MID(D1283,4,1)="5",_xlfn.IFS(1*MID(LEFT(D1283, LEN(D1283)-1),6,2)&lt;6,90,1*MID(LEFT(D1283, LEN(D1283)-1),6,2)&lt;9,115,1*MID(LEFT(D1283, LEN(D1283)-1),6,2)&gt;8,135),_xlfn.IFS(1*MID(LEFT(D1283, LEN(D1283)-1),6,2)&lt;4,90,1*MID(LEFT(D1283, LEN(D1283)-1),6,2)&lt;7,115,1*MID(LEFT(D1283, LEN(D1283)-1),6,2)&lt;10,135,1*MID(LEFT(D1283, LEN(D1283)-1),6,2)&lt;13,146,1*MID(LEFT(D1283, LEN(D1283)-1),6,2)&gt;12,165)),IF(MID(D1283,4,1)="5",_xlfn.IFS(1*MID(LEFT(D1283, LEN(D1283)-1),6,2)&lt;3,90,1*MID(LEFT(D1283, LEN(D1283)-1),6,2)&lt;7,115,1*MID(LEFT(D1283, LEN(D1283)-1),6,2)&lt;9,135,1*MID(LEFT(D1283, LEN(D1283)-1),6,2)&gt;8,146),_xlfn.IFS(1*MID(LEFT(D1283, LEN(D1283)-1),6,2)&lt;3,90,1*MID(LEFT(D1283, LEN(D1283)-1),6,2)&lt;4,115,1*MID(LEFT(D1283, LEN(D1283)-1),6,2)&lt;6,135,1*MID(LEFT(D1283, LEN(D1283)-1),6,2)&lt;10,146,1*MID(LEFT(D1283, LEN(D1283)-1),6,2)&lt;13,165,1*MID(LEFT(D1283, LEN(D1283)-1),6,2)&gt;12,216))))</f>
        <v>90</v>
      </c>
      <c r="E1298" s="195"/>
      <c r="F1298" s="8"/>
      <c r="G1298" s="8"/>
      <c r="H1298" s="102"/>
    </row>
    <row r="1299" spans="2:11" ht="12" customHeight="1">
      <c r="B1299" s="20"/>
      <c r="C1299" s="46"/>
      <c r="D1299" s="117"/>
      <c r="F1299" s="8"/>
      <c r="G1299" s="8"/>
      <c r="H1299" s="102"/>
    </row>
    <row r="1300" spans="2:11" ht="12" customHeight="1">
      <c r="B1300" s="15" t="str">
        <f>"■"&amp;MID(B1277,2,14)</f>
        <v>■本設：EHDアンカーHP工法</v>
      </c>
      <c r="C1300" s="3"/>
      <c r="D1300" s="1"/>
      <c r="E1300" s="1"/>
      <c r="F1300" s="8"/>
      <c r="G1300" s="8"/>
      <c r="H1300" s="102"/>
    </row>
    <row r="1301" spans="2:11" ht="12" customHeight="1">
      <c r="B1301" s="2" t="s">
        <v>17</v>
      </c>
      <c r="C1301" s="43"/>
      <c r="D1301" s="196" t="s">
        <v>148</v>
      </c>
      <c r="E1301" s="135"/>
      <c r="F1301" s="16"/>
      <c r="G1301" s="61" t="s">
        <v>42</v>
      </c>
      <c r="H1301" s="97"/>
      <c r="I1301" s="2" t="s">
        <v>21</v>
      </c>
      <c r="J1301" s="49" t="s">
        <v>149</v>
      </c>
      <c r="K1301" s="2" t="s">
        <v>28</v>
      </c>
    </row>
    <row r="1302" spans="2:11" ht="12" customHeight="1">
      <c r="B1302" s="197" t="s">
        <v>150</v>
      </c>
      <c r="C1302" s="198" t="str">
        <f>IF(OR(D1282=0,D1283="　"),"",D1283&amp;" ("&amp;MID(LEFT(D1283, LEN(D1283)-1),6,2)&amp;IF(MID(D1283,4,1)="5","φ12.7","φ15.2")&amp;")")</f>
        <v>EHD5-4H (4φ12.7)</v>
      </c>
      <c r="D1302" s="199"/>
      <c r="E1302" s="200"/>
      <c r="F1302" s="201" t="str">
        <f>"W=テンドン長×PC鋼より線本数×"&amp;IF(MID(D1283,4,1)="5","0.774","1.101")&amp;"kg/m"</f>
        <v>W=テンドン長×PC鋼より線本数×0.774kg/m</v>
      </c>
      <c r="G1302" s="202"/>
      <c r="H1302" s="203"/>
      <c r="I1302" s="204" t="s">
        <v>11</v>
      </c>
      <c r="J1302" s="205">
        <f>IF(OR(D1282=0,D1283="　"),"",MROUND(D1295*MID(LEFT(D1283, LEN(D1283)-1),6,2)*IF(MID(D1283,4,1)="5","0.774","1.101"),0.01))</f>
        <v>30.03</v>
      </c>
      <c r="K1302" s="205">
        <f>IFERROR(D1282*J1302,"")</f>
        <v>300.3</v>
      </c>
    </row>
    <row r="1303" spans="2:11" ht="12" customHeight="1">
      <c r="B1303" s="206" t="s">
        <v>151</v>
      </c>
      <c r="C1303" s="207"/>
      <c r="D1303" s="208"/>
      <c r="E1303" s="209"/>
      <c r="F1303" s="210" t="s">
        <v>33</v>
      </c>
      <c r="G1303" s="211"/>
      <c r="H1303" s="212"/>
      <c r="I1303" s="213" t="s">
        <v>12</v>
      </c>
      <c r="J1303" s="214">
        <f>IF(OR(D1282=0,D1283="　"),"",MROUND(D1295,0.1))</f>
        <v>9.7000000000000011</v>
      </c>
      <c r="K1303" s="214">
        <f>IFERROR(D1282*J1303,"")</f>
        <v>97.000000000000014</v>
      </c>
    </row>
    <row r="1304" spans="2:11" ht="12" customHeight="1">
      <c r="B1304" s="206" t="str">
        <f>"頭部キャップ"</f>
        <v>頭部キャップ</v>
      </c>
      <c r="C1304" s="207" t="str" cm="1">
        <f t="array" ref="C1304">IF(OR(D1282=0,D1283="　"),"",IF(MID(D1283,4,1)="5",_xlfn.SWITCH(1*MID(LEFT(D1283, LEN(D1283)-1),6,2),1,"S",2,"S",3,"S",4,"S",5,"M",6,"M",7,"M",8,"L",9,"L",10,"L",11,"L",12,"L"),_xlfn.SWITCH(1*MID(LEFT(D1283, LEN(D1283)-1),6,2),1,"S",2,"S",3,"M",4,"M",5,"L",6,"L",7,"L",8,"LL",9,"LL",10,"LL",11,"LL",12,"LL",13,"LL",14,"LL"))&amp;"型"&amp;D1285&amp;IF(OR(MID(D1285,1,2)="透明",MID(D1285,1,2)="5窓"),"、PC樹脂","")&amp;"、ｱﾙﾐAC4C相当"&amp;_xlfn.IFS(MID(D1284,1,3)="防食Ⅱ","",MID(D1284,5,2)="塩害","、防食：ﾀｹｺｰﾄ処理",MID(D1284,5,2)="酸性","、防食：重防食処理"))</f>
        <v>S型透明キャップ、PC樹脂、ｱﾙﾐAC4C相当</v>
      </c>
      <c r="D1304" s="215"/>
      <c r="E1304" s="216"/>
      <c r="F1304" s="217" t="str">
        <f t="shared" ref="F1304:F1310" si="51">"n=1"</f>
        <v>n=1</v>
      </c>
      <c r="G1304" s="218"/>
      <c r="H1304" s="219"/>
      <c r="I1304" s="213" t="s">
        <v>13</v>
      </c>
      <c r="J1304" s="220" t="str">
        <f>IF(OR(D1282=0,D1283="　"),"",MID(F1304,3,2))</f>
        <v>1</v>
      </c>
      <c r="K1304" s="214">
        <f>IFERROR(D1282*J1304,"")</f>
        <v>10</v>
      </c>
    </row>
    <row r="1305" spans="2:11" ht="12" customHeight="1">
      <c r="B1305" s="206" t="s">
        <v>5</v>
      </c>
      <c r="C1305" s="207" t="str" cm="1">
        <f t="array" ref="C1305">IF(OR(D1282=0,D1283="　"),"",IF(MID(D1283,4,1)="5","G5"&amp;_xlfn.SWITCH(1*MID(LEFT(D1283, LEN(D1283)-1),6,2),1,"01",2,"02",3,"03",4,"04",5,"07",6,"07",7,"07",8,"09",9,"09",10,"12",11,"12",12,"12"),"G6"&amp;_xlfn.SWITCH(1*MID(LEFT(D1283, LEN(D1283)-1),6,2),1,"01",2,"02",3,"03",4,"04",5,"07",6,"07",7,"07",8,"09",9,"09",10,"12",11,"12",12,"12",13,"14",14,"14"))&amp;"、S45C相当"&amp;IF(MID(D1285,1,3)&lt;&gt;"アルミ","、防食：無電解Niめっき",""))</f>
        <v>G504、S45C相当、防食：無電解Niめっき</v>
      </c>
      <c r="D1305" s="208"/>
      <c r="E1305" s="209"/>
      <c r="F1305" s="217" t="str">
        <f t="shared" si="51"/>
        <v>n=1</v>
      </c>
      <c r="G1305" s="218"/>
      <c r="H1305" s="219"/>
      <c r="I1305" s="213" t="s">
        <v>13</v>
      </c>
      <c r="J1305" s="220" t="str">
        <f>IF(OR(D1282=0,D1283="　"),"",MID(F1305,3,2))</f>
        <v>1</v>
      </c>
      <c r="K1305" s="214">
        <f>IFERROR(D1282*J1305,"")</f>
        <v>10</v>
      </c>
    </row>
    <row r="1306" spans="2:11" ht="12" customHeight="1">
      <c r="B1306" s="206" t="s">
        <v>152</v>
      </c>
      <c r="C1306" s="207" t="str" cm="1">
        <f t="array" ref="C1306">IF(OR(D1282=0,D1283="　"),"",IF(MID(D1283,4,1)="5","G5"&amp;_xlfn.SWITCH(1*MID(LEFT(D1283, LEN(D1283)-1),6,2),1,"01",2,"02",3,"03",4,"04",5,"07",6,"07",7,"07",8,"09",9,"09",10,"12",11,"12",12,"12"),"G6"&amp;_xlfn.SWITCH(1*MID(LEFT(D1283, LEN(D1283)-1),6,2),1,"01",2,"02",3,"03",4,"04",5,"07",6,"07",7,"07",8,"09",9,"09",10,"12",11,"12",12,"12",13,"14",14,"14"))&amp;"、S45C相当"&amp;IF(MID(D1285,1,3)&lt;&gt;"アルミ","、防食：無電解Niめっき",""))</f>
        <v>G504、S45C相当、防食：無電解Niめっき</v>
      </c>
      <c r="D1306" s="208"/>
      <c r="E1306" s="209"/>
      <c r="F1306" s="217" t="str">
        <f t="shared" si="51"/>
        <v>n=1</v>
      </c>
      <c r="G1306" s="218"/>
      <c r="H1306" s="219"/>
      <c r="I1306" s="213" t="s">
        <v>13</v>
      </c>
      <c r="J1306" s="220" t="str">
        <f>IF(OR(D1282=0,D1283="　"),"",MID(F1306,3,2))</f>
        <v>1</v>
      </c>
      <c r="K1306" s="214">
        <f>IFERROR(D1282*J1306,"")</f>
        <v>10</v>
      </c>
    </row>
    <row r="1307" spans="2:11" ht="12" customHeight="1">
      <c r="B1307" s="206" t="s">
        <v>7</v>
      </c>
      <c r="C1307" s="207" t="str">
        <f>IF(OR(D1282=0,D1283="　"),"",IF(1*MID(D1283,4,1)=5,"ECF12.7","ECF15.2")&amp;"、SCM415相当"&amp;IF(MID(D1285,1,3)&lt;&gt;"アルミ","、防食：無電解Niめっき",""))</f>
        <v>ECF12.7、SCM415相当、防食：無電解Niめっき</v>
      </c>
      <c r="D1307" s="208"/>
      <c r="E1307" s="209"/>
      <c r="F1307" s="217" t="str">
        <f t="shared" si="51"/>
        <v>n=1</v>
      </c>
      <c r="G1307" s="218"/>
      <c r="H1307" s="219"/>
      <c r="I1307" s="213" t="s">
        <v>27</v>
      </c>
      <c r="J1307" s="220" t="str">
        <f>IF(OR(D1282=0,D1283="　"),"",MID(F1307,3,2))</f>
        <v>1</v>
      </c>
      <c r="K1307" s="214">
        <f>IFERROR(D1282*J1307,"")</f>
        <v>10</v>
      </c>
    </row>
    <row r="1308" spans="2:11" ht="12" customHeight="1">
      <c r="B1308" s="206" t="s">
        <v>153</v>
      </c>
      <c r="C1308" s="207" t="str" cm="1">
        <f t="array" ref="C1308">IF(OR(D1282=0,D1283="　"),"",IF(MID(D1283,4,1)="5","G5"&amp;_xlfn.SWITCH(1*MID(LEFT(D1283, LEN(D1283)-1),6,2),1,"01",2,"04",3,"03",4,"04",5,"07",6,"07",7,"07",8,"12",9,"12",10,"12",11,"12",12,"12"),"G6"&amp;_xlfn.SWITCH(1*MID(LEFT(D1283, LEN(D1283)-1),6,2),1,"01",2,"02",3,"03",4,"04",5,"07",6,"07",7,"07",8,"12",9,"12",10,"12",11,"12",12,"12",13,"14",14,"14"))&amp;"、SS400相当、防食："&amp;_xlfn.IFS(MID(D1284,1,3)="防食Ⅱ","HDZT77めっき",MID(D1284,5,2)="塩害","ｱﾙﾐﾅｲｽﾞ処理",MID(D1284,5,2)="酸性","重防食処理"))</f>
        <v>G504、SS400相当、防食：HDZT77めっき</v>
      </c>
      <c r="D1308" s="208"/>
      <c r="E1308" s="209"/>
      <c r="F1308" s="217" t="str">
        <f t="shared" si="51"/>
        <v>n=1</v>
      </c>
      <c r="G1308" s="218"/>
      <c r="H1308" s="219"/>
      <c r="I1308" s="213" t="s">
        <v>16</v>
      </c>
      <c r="J1308" s="220" t="str">
        <f>IF(OR(D1282=0,D1283="　"),"",MID(F1308,3,2))</f>
        <v>1</v>
      </c>
      <c r="K1308" s="214">
        <f>IFERROR(D1282*J1308,"")</f>
        <v>10</v>
      </c>
    </row>
    <row r="1309" spans="2:11" ht="12" customHeight="1">
      <c r="B1309" s="206" t="str">
        <f>IF(MID(D1286,1,3)="のり面","管付","")&amp;"支圧板"</f>
        <v>管付支圧板</v>
      </c>
      <c r="C1309" s="221" t="str" cm="1">
        <f t="array" ref="C1309">IF(OR(D1282=0,D1283="　"),"","PL"&amp;IF(MID(D1286,1,3)="のり面","P","")&amp;IF(MID(D1283,4,1)="5","5-"&amp;_xlfn.SWITCH(1*MID(LEFT(D1283, LEN(D1283)-1),6,2),1,"1",2,"2",3,"3",4,"4",5,"5",6,"6",7,"7",8,"9",9,"9",10,"10",11,"11",12,"12"),"6-"&amp;_xlfn.SWITCH(1*MID(LEFT(D1283, LEN(D1283)-1),6,2),1,"1",2,"2",3,"3",4,"4",5,"6",6,"6",7,"7",8,"8",9,"9",10,"10",11,"11",12,"12",13,"14",14,"14"))&amp;"、SS400相当、防食："&amp;_xlfn.IFS(MID(D1284,1,3)="防食Ⅱ","HDZT77めっき",MID(D1284,5,2)="塩害","ｱﾙﾐﾅｲｽﾞ処理",MID(D1284,5,2)="酸性","重防食処理"))</f>
        <v>PLP5-4、SS400相当、防食：HDZT77めっき</v>
      </c>
      <c r="D1309" s="208"/>
      <c r="E1309" s="209"/>
      <c r="F1309" s="217" t="str">
        <f t="shared" si="51"/>
        <v>n=1</v>
      </c>
      <c r="G1309" s="218"/>
      <c r="H1309" s="219"/>
      <c r="I1309" s="213" t="s">
        <v>16</v>
      </c>
      <c r="J1309" s="220" t="str">
        <f>IF(OR(D1282=0,D1283="　"),"",MID(F1309,3,2))</f>
        <v>1</v>
      </c>
      <c r="K1309" s="214">
        <f>IFERROR(D1282*J1309,"")</f>
        <v>10</v>
      </c>
    </row>
    <row r="1310" spans="2:11" ht="12" customHeight="1">
      <c r="B1310" s="206" t="s">
        <v>154</v>
      </c>
      <c r="C1310" s="207" t="str">
        <f>IF(OR(D1282=0,D1283="　"),"","G"&amp;MID(LEFT(D1283, LEN(D1283)-1),4,4)&amp;"、NBR45相当")</f>
        <v>G5-4、NBR45相当</v>
      </c>
      <c r="D1310" s="208"/>
      <c r="E1310" s="209"/>
      <c r="F1310" s="217" t="str">
        <f t="shared" si="51"/>
        <v>n=1</v>
      </c>
      <c r="G1310" s="218"/>
      <c r="H1310" s="219"/>
      <c r="I1310" s="213" t="s">
        <v>13</v>
      </c>
      <c r="J1310" s="220" t="str">
        <f>IF(OR(D1282=0,D1283="　"),"",MID(F1310,3,2))</f>
        <v>1</v>
      </c>
      <c r="K1310" s="214">
        <f>IFERROR(D1282*J1310,"")</f>
        <v>10</v>
      </c>
    </row>
    <row r="1311" spans="2:11" ht="12" customHeight="1">
      <c r="B1311" s="206" t="str" cm="1">
        <f t="array" ref="B1311">_xlfn.IFS(OR(D1282=0,D1283="　"),"",MID(D1285,1,3)="アルミ","頭部防錆油",MID(D1285,1,3)&lt;&gt;"アルミ","余長キャップ")</f>
        <v>余長キャップ</v>
      </c>
      <c r="C1311" s="221" t="str" cm="1">
        <f t="array" ref="C1311">_xlfn.IFS(OR(D1282=0,D1283="　"),"",MID(D1285,1,3)="アルミ","PCコートC",MID(D1285,1,3)&lt;&gt;"アルミ","TC"&amp;MID(D1283,4,1)&amp;"、高密度ポチエチレン")</f>
        <v>TC5、高密度ポチエチレン</v>
      </c>
      <c r="D1311" s="208"/>
      <c r="E1311" s="209"/>
      <c r="F1311" s="217" t="str" cm="1">
        <f t="array" ref="F1311">_xlfn.IFS(OR(D1282=0,D1283="　"),"",MID(D1285,1,3)="アルミ","W="&amp;IF(MID(D1283,4,1)="5",_xlfn.SWITCH(1*MID(LEFT(D1283, LEN(D1283)-1),6,2),1,1.9,2,1.3,3,1.3,4,1.3,5,1.6,6,1.6,7,1.6,8,3.1,9,3.1,10,3.1,11,3.1,12,3.1),"G6"&amp;_xlfn.SWITCH(1*MID(LEFT(D1283, LEN(D1283)-1),6,2),1,1.8,2,1.3,3,1.8,4,1.8,5,3.3,6,3.3,7,3.3,8,9.9,9,9.9,10,9.9,11,9.9,12,9.9,13,9.9,14,9.9)),MID(D1285,1,3)&lt;&gt;"アルミ","n=1")</f>
        <v>n=1</v>
      </c>
      <c r="G1311" s="218"/>
      <c r="H1311" s="219"/>
      <c r="I1311" s="213" t="str" cm="1">
        <f t="array" ref="I1311">_xlfn.IFS(OR(D1282=0,D1283="　"),"",MID(D1285,1,3)="アルミ","kg",MID(D1285,1,3)&lt;&gt;"アルミ","式")</f>
        <v>式</v>
      </c>
      <c r="J1311" s="220" t="str">
        <f>IF(OR(D1282=0,D1283="　"),"",MID(F1311,3,4))</f>
        <v>1</v>
      </c>
      <c r="K1311" s="214">
        <f>IFERROR(D1282*J1311,"")</f>
        <v>10</v>
      </c>
    </row>
    <row r="1312" spans="2:11" ht="12" customHeight="1">
      <c r="B1312" s="206" t="s">
        <v>9</v>
      </c>
      <c r="C1312" s="207" t="str" cm="1">
        <f t="array" ref="C1312">IF(OR(D1282=0,D1283="　"),"",IF(MID(D1283,4,1)="5","PS5-"&amp;_xlfn.SWITCH(1*MID(LEFT(D1283, LEN(D1283)-1),6,2),1,"7",2,"2",3,"3",4,"4",5,"7",6,"7",7,"7",8,"12",9,"12",10,"12",11,"12",12,"12"),"PS6-"&amp;_xlfn.SWITCH(1*MID(LEFT(D1283, LEN(D1283)-1),6,2),1,"7",2,"2",3,"3",4,"4",5,"7",6,"7",7,"7",8,"12",9,"12",10,"12",11,"12",12,"12",13,"14",14,"14"))&amp;"、高密度ポリエチレン")</f>
        <v>PS5-4、高密度ポリエチレン</v>
      </c>
      <c r="D1312" s="208"/>
      <c r="E1312" s="209"/>
      <c r="F1312" s="217" t="str">
        <f>"n=2"</f>
        <v>n=2</v>
      </c>
      <c r="G1312" s="218"/>
      <c r="H1312" s="219"/>
      <c r="I1312" s="213" t="s">
        <v>13</v>
      </c>
      <c r="J1312" s="220" t="str">
        <f>IF(OR(D1282=0,D1283="　"),"",MID(F1312,3,2))</f>
        <v>2</v>
      </c>
      <c r="K1312" s="214">
        <f>IFERROR(D1282*J1312,"")</f>
        <v>20</v>
      </c>
    </row>
    <row r="1313" spans="2:11" ht="12" customHeight="1">
      <c r="B1313" s="206" t="s">
        <v>2</v>
      </c>
      <c r="C1313" s="207" t="str" cm="1">
        <f t="array" ref="C1313">IF(OR(D1282=0,D1283="　"),"",IF(MID(D1283,4,1)="5","S5-"&amp;_xlfn.IFS(1*MID(LEFT(D1283, LEN(D1283)-1),6,2)&lt;6,"5",1*MID(LEFT(D1283, LEN(D1283)-1),6,2)&lt;9,"8",1*MID(LEFT(D1283, LEN(D1283)-1),6,2)&gt;8,"12"),"S6-"&amp;_xlfn.IFS(1*MID(LEFT(D1283, LEN(D1283)-1),6,2)&lt;4,"3",1*MID(LEFT(D1283, LEN(D1283)-1),6,2)&lt;7,"6",1*MID(LEFT(D1283, LEN(D1283)-1),6,2)&lt;10,"9",1*MID(LEFT(D1283, LEN(D1283)-1),6,2)&lt;13,"12",1*MID(LEFT(D1283, LEN(D1283)-1),6,2)&gt;12,"14"))&amp;"、ポリプロピレン")</f>
        <v>S5-5、ポリプロピレン</v>
      </c>
      <c r="D1313" s="208"/>
      <c r="E1313" s="209"/>
      <c r="F1313" s="222" t="s">
        <v>155</v>
      </c>
      <c r="G1313" s="211"/>
      <c r="H1313" s="212"/>
      <c r="I1313" s="213" t="s">
        <v>13</v>
      </c>
      <c r="J1313" s="206">
        <f>IF(OR(D1282=0,D1283="　"),"",MROUND((D1291-0.4)/1,1))</f>
        <v>4</v>
      </c>
      <c r="K1313" s="214">
        <f>IFERROR(D1282*J1313,"")</f>
        <v>40</v>
      </c>
    </row>
    <row r="1314" spans="2:11" ht="12" customHeight="1">
      <c r="B1314" s="206" t="s">
        <v>1</v>
      </c>
      <c r="C1314" s="207" t="str" cm="1">
        <f t="array" ref="C1314">IF(OR(D1282=0,D1283="　"),"",IF(MID(D1283,4,1)="5","PC5-"&amp;_xlfn.IFS(1*MID(LEFT(D1283, LEN(D1283)-1),6,2)&lt;5,"4",1*MID(LEFT(D1283, LEN(D1283)-1),6,2)&lt;8,"7",1*MID(LEFT(D1283, LEN(D1283)-1),6,2)&lt;10,"9",1*MID(LEFT(D1283, LEN(D1283)-1),6,2)&gt;9,"12"),"PC6-"&amp;_xlfn.IFS(1*MID(LEFT(D1283, LEN(D1283)-1),6,2)&lt;4,"3",1*MID(LEFT(D1283, LEN(D1283)-1),6,2)&lt;8,"7",1*MID(LEFT(D1283, LEN(D1283)-1),6,2)&lt;13,"12",1*MID(LEFT(D1283, LEN(D1283)-1),6,2)&gt;12,"14"))&amp;"、ポリプロピレン")</f>
        <v>PC5-4、ポリプロピレン</v>
      </c>
      <c r="D1314" s="208"/>
      <c r="E1314" s="209"/>
      <c r="F1314" s="217" t="str">
        <f>"n=1"</f>
        <v>n=1</v>
      </c>
      <c r="G1314" s="218"/>
      <c r="H1314" s="219"/>
      <c r="I1314" s="213" t="s">
        <v>13</v>
      </c>
      <c r="J1314" s="220" t="str">
        <f>IF(OR(D1282=0,D1283="　"),"",MID(F1314,3,2))</f>
        <v>1</v>
      </c>
      <c r="K1314" s="214">
        <f>IFERROR(D1282*J1314,"")</f>
        <v>10</v>
      </c>
    </row>
    <row r="1315" spans="2:11" ht="12" customHeight="1">
      <c r="B1315" s="206" t="s">
        <v>3</v>
      </c>
      <c r="C1315" s="207" t="str">
        <f>IF(OR(D1282=0,D1283="　"),"","66ナイロン")</f>
        <v>66ナイロン</v>
      </c>
      <c r="D1315" s="208"/>
      <c r="E1315" s="209"/>
      <c r="F1315" s="222" t="s">
        <v>156</v>
      </c>
      <c r="G1315" s="211"/>
      <c r="H1315" s="212"/>
      <c r="I1315" s="213" t="s">
        <v>14</v>
      </c>
      <c r="J1315" s="206">
        <f>IF(OR(D1282=0,D1283="　"),"",2*J1313)</f>
        <v>8</v>
      </c>
      <c r="K1315" s="214">
        <f>IFERROR(D1282*J1315,"")</f>
        <v>80</v>
      </c>
    </row>
    <row r="1316" spans="2:11" ht="12" customHeight="1">
      <c r="B1316" s="206" t="s">
        <v>4</v>
      </c>
      <c r="C1316" s="207" t="str">
        <f>IF(OR(D1282=0,D1283="　"),"","フィラメントテープ")</f>
        <v>フィラメントテープ</v>
      </c>
      <c r="D1316" s="208"/>
      <c r="E1316" s="209"/>
      <c r="F1316" s="222" t="str">
        <f>IF(OR(D1282=0,D1283="　"),"","L=((自由長+緊張部長)÷@1.0m)×テープ係数"&amp;IF(MID(D1283,4,1)="5",_xlfn.IFS(1*MID(LEFT(D1283, LEN(D1283)-1),6,2)&lt;4,"0.8",1*MID(LEFT(D1283, LEN(D1283)-1),6,2)&lt;7,"1.0",1*MID(LEFT(D1283, LEN(D1283)-1),6,2)&lt;10,"1.2",1*MID(LEFT(D1283, LEN(D1283)-1),6,2)&lt;13,"1.4"),_xlfn.IFS(1*MID(LEFT(D1283, LEN(D1283)-1),6,2)&lt;4,"1.0",1*MID(LEFT(D1283, LEN(D1283)-1),6,2)&lt;7,"1.2",1*MID(LEFT(D1283, LEN(D1283)-1),6,2)&lt;10,"1.4",1*MID(LEFT(D1283, LEN(D1283)-1),6,2)&lt;15,"1.8")))</f>
        <v>L=((自由長+緊張部長)÷@1.0m)×テープ係数1.0</v>
      </c>
      <c r="G1316" s="211"/>
      <c r="H1316" s="212"/>
      <c r="I1316" s="213" t="s">
        <v>12</v>
      </c>
      <c r="J1316" s="223">
        <f>IF(OR(D1282=0,D1283="　"),"",MROUND((SUM(D1292,D1293))/1*RIGHT(F1316, 3),0.1))</f>
        <v>5.5</v>
      </c>
      <c r="K1316" s="214">
        <f>IFERROR(D1282*J1316,"")</f>
        <v>55</v>
      </c>
    </row>
    <row r="1317" spans="2:11" ht="12" customHeight="1">
      <c r="B1317" s="206" t="s">
        <v>0</v>
      </c>
      <c r="C1317" s="207" t="str">
        <f>IF(OR(D1282=0,D1283="　"),"","16/20、高密度ポリエチレン")</f>
        <v>16/20、高密度ポリエチレン</v>
      </c>
      <c r="D1317" s="208"/>
      <c r="E1317" s="209"/>
      <c r="F1317" s="210" t="s">
        <v>33</v>
      </c>
      <c r="G1317" s="211"/>
      <c r="H1317" s="212"/>
      <c r="I1317" s="213" t="s">
        <v>12</v>
      </c>
      <c r="J1317" s="214">
        <f>IF(OR(D1282=0,D1283="　"),"",MROUND(D1295,0.1))</f>
        <v>9.7000000000000011</v>
      </c>
      <c r="K1317" s="214">
        <f>IFERROR(D1282*J1317,"")</f>
        <v>97.000000000000014</v>
      </c>
    </row>
    <row r="1318" spans="2:11" ht="12" customHeight="1">
      <c r="B1318" s="206" t="str" cm="1">
        <f t="array" ref="B1318">_xlfn.IFS(OR(D1282=0,D1283="　",MID(D1286,1,2)="なし",MID(D1286,1,3)="受圧体"),"",MID(D1286,1,3)="のり面","のり面角度台座",MID(D1286,1,3)="構造物","構造物壁面台座",MID(D1286,1,3)="土留め","土留め台座")</f>
        <v>のり面角度台座</v>
      </c>
      <c r="C1318" s="210" t="str" cm="1">
        <f t="array" ref="C1318">IF(OR(D1282=0,D1283="　",MID(D1286,1,2)="なし",MID(D1286,1,3)="受圧体"),"",_xlfn.IFS(MID(D1286,1,3)="のり面",IF(1*MID(D1283,4,1)=5,_xlfn.IFS(1*MID(LEFT(D1283, LEN(D1283)-1),6,2)&lt;5,"ST140",1*MID(LEFT(D1283, LEN(D1283)-1),6,2)&lt;8,"ST170",1*MID(LEFT(D1283, LEN(D1283)-1),6,2)&lt;13,"ST220"),_xlfn.IFS(1*MID(LEFT(D1283, LEN(D1283)-1),6,2)&lt;4,"ST140",1*MID(LEFT(D1283, LEN(D1283)-1),6,2)&lt;5,"ST170",1*MID(LEFT(D1283, LEN(D1283)-1),6,2)&lt;8,"ST220",1*MID(LEFT(D1283, LEN(D1283)-1),6,2)&lt;15,"非該当"))&amp;"、FCD450相当、防食："&amp;_xlfn.IFS(MID(D1284,1,3)="防食Ⅱ","HDZT77めっき",MID(D1284,5,2)="塩害","ｱﾙﾐﾅｲｽﾞ処理",MID(D1284,5,2)="酸性","重防食処理"),OR(MID(D1286,1,3)="構造物",MID(D1286,1,3)="土留め"),D1283&amp;"用"&amp;IF(OR(MID(D1286,1,3)="構造物",D1287="　"),"",D1287)&amp;"、防食："&amp;_xlfn.IFS(MID(D1284,1,3)="防食Ⅱ","HDZT77めっき",MID(D1284,5,2)="塩害","ｱﾙﾐﾅｲｽﾞ処理",MID(D1284,5,2)="酸性","重防食処理")))</f>
        <v>ST140、FCD450相当、防食：HDZT77めっき</v>
      </c>
      <c r="D1318" s="208"/>
      <c r="E1318" s="209"/>
      <c r="F1318" s="217" t="str">
        <f>IF(OR(D1286="なし",D1286="受圧体のみ"),"","n=1")</f>
        <v>n=1</v>
      </c>
      <c r="G1318" s="218"/>
      <c r="H1318" s="219"/>
      <c r="I1318" s="213" t="str">
        <f>IF(OR(D1282=0,D1283="　",B1318=""),"","台")</f>
        <v>台</v>
      </c>
      <c r="J1318" s="220" t="str">
        <f>IF(OR(D1282=0,D1283="　"),"",MID(F1318,3,2))</f>
        <v>1</v>
      </c>
      <c r="K1318" s="214">
        <f>IFERROR(D1282*J1318,"")</f>
        <v>10</v>
      </c>
    </row>
    <row r="1319" spans="2:11" ht="12" customHeight="1">
      <c r="B1319" s="206" t="str">
        <f>IF(OR(D1282=0,D1283="　",MID(D1286,1,3)&lt;&gt;"のり面"),"","補剛板")</f>
        <v>補剛板</v>
      </c>
      <c r="C1319" s="210" t="str" cm="1">
        <f t="array" ref="C1319">IF(OR(D1282=0,D1283="　",MID(D1286,1,3)&lt;&gt;"のり面"),"",IF(MID(D1283,4,1)="5","□"&amp;_xlfn.SWITCH(1*MID(LEFT(D1283, LEN(D1283)-1),6,2),1,"210φ131t12",2,"210φ131t12",3,"240φ131t12",4,"270φ131t12",5,"280φ143t12",6,"310φ143t16",7,"350φ143t19",8,"350φ180t19",9,"350φ180t19",10,"350φ180t19",11,"350φ180t22",12,"350φ180t22"),"□"&amp;_xlfn.SWITCH(1*MID(LEFT(D1283, LEN(D1283)-1),6,2),1,"210,φ131,t12",2,"240,φ131,t12",3,"270,φ131,t16",4,"300,φ143,t16",5,"350,φ180,t16",6,"350,φ180,t16",7,"350,φ180,t19",8,"400,φ──,t12",9,"400,φ──,t12",10,"400,φ──,t12",11,"400,φ──,t12",12,"400,φ──,t12",13,"400,φ──,t12",14,"400,φ──,t12"))&amp;"、SS400相当、防食："&amp;_xlfn.IFS(MID(D1284,1,3)="防食Ⅱ","HDZT77めっき",MID(D1284,5,2)="塩害","ｱﾙﾐﾅｲｽﾞ処理",MID(D1284,5,2)="酸性","重防食処理"))</f>
        <v>□270φ131t12、SS400相当、防食：HDZT77めっき</v>
      </c>
      <c r="D1319" s="208"/>
      <c r="E1319" s="209"/>
      <c r="F1319" s="217" t="str">
        <f>IF(OR(D1282=0,D1283="　",MID(D1286,1,3)&lt;&gt;"のり面"),"","n=1")</f>
        <v>n=1</v>
      </c>
      <c r="G1319" s="218"/>
      <c r="H1319" s="219"/>
      <c r="I1319" s="213" t="str">
        <f>IF(OR(D1282=0,D1283="　",B1319="",MID(D1286,1,3)&lt;&gt;"のり面"),"","枚")</f>
        <v>枚</v>
      </c>
      <c r="J1319" s="220" t="str">
        <f>IF(OR(D1282=0,D1283="　"),"",MID(F1319,3,2))</f>
        <v>1</v>
      </c>
      <c r="K1319" s="214">
        <f>IFERROR(D1282*J1319,"")</f>
        <v>10</v>
      </c>
    </row>
    <row r="1320" spans="2:11" ht="12" customHeight="1">
      <c r="B1320" s="206" t="str" cm="1">
        <f t="array" ref="B1320">_xlfn.IFS(OR(D1282=0,D1283="　"),"",MID(D1285,1,3)="アルミ","",MID(D1285,1,3)&lt;&gt;"アルミ","テンドン補修用塗料")</f>
        <v>テンドン補修用塗料</v>
      </c>
      <c r="C1320" s="210" t="str" cm="1">
        <f t="array" ref="C1320">_xlfn.IFS(OR(D1282=0,D1283="　"),"",MID(D1285,1,3)="アルミ","",MID(D1285,1,3)&lt;&gt;"アルミ","エポキシ樹脂")</f>
        <v>エポキシ樹脂</v>
      </c>
      <c r="D1320" s="208"/>
      <c r="E1320" s="209"/>
      <c r="F1320" s="217" t="str" cm="1">
        <f t="array" ref="F1320">_xlfn.IFS(OR(D1282=0,D1283="　"),"",MID(D1285,1,3)="アルミ","",MID(D1285,1,3)&lt;&gt;"アルミ","W=PC鋼より線本数×"&amp;IF(MID(D1283,4,1)="5","0.28","0.40"))</f>
        <v>W=PC鋼より線本数×0.28</v>
      </c>
      <c r="G1320" s="218"/>
      <c r="H1320" s="219"/>
      <c r="I1320" s="213" t="str" cm="1">
        <f t="array" ref="I1320">_xlfn.IFS(OR(D1282=0,D1283="　"),"",MID(D1285,1,3)="アルミ","",MID(D1285,1,3)&lt;&gt;"アルミ","g")</f>
        <v>g</v>
      </c>
      <c r="J1320" s="224" cm="1">
        <f t="array" ref="J1320">_xlfn.IFS(OR(D1282=0,D1283="　"),"",MID(D1285,1,3)="アルミ","",MID(D1285,1,3)&lt;&gt;"アルミ",MID(LEFT(D1283, LEN(D1283)-1),6,2)*IF(MID(D1283,4,1)="5",0.28,0.4))</f>
        <v>1.1200000000000001</v>
      </c>
      <c r="K1320" s="214">
        <f>IFERROR(D1282*J1320,"")</f>
        <v>11.200000000000001</v>
      </c>
    </row>
    <row r="1321" spans="2:11" ht="12" customHeight="1">
      <c r="B1321" s="206" t="str" cm="1">
        <f t="array" ref="B1321">_xlfn.IFS(OR(D1282=0,D1283="　"),"",MID(D1285,1,3)="アルミ","",MID(D1285,1,3)&lt;&gt;"アルミ","長期防錆スプレー")</f>
        <v>長期防錆スプレー</v>
      </c>
      <c r="C1321" s="210" t="str" cm="1">
        <f t="array" ref="C1321">_xlfn.IFS(OR(D1282=0,D1283="　"),"",MID(D1285,1,3)="アルミ","",MID(D1285,1,3)&lt;&gt;"アルミ","防錆オイル")</f>
        <v>防錆オイル</v>
      </c>
      <c r="D1321" s="208"/>
      <c r="E1321" s="209"/>
      <c r="F1321" s="217" t="str" cm="1">
        <f t="array" ref="F1321">_xlfn.IFS(OR(D1282=0,D1283="　"),"",MID(D1285,1,3)="アルミ","",MID(D1285,1,3)&lt;&gt;"アルミ","n=0.01×(PC鋼より線本数+"&amp;IF(MID(D1283,4,1)="5","6","12")&amp;")")</f>
        <v>n=0.01×(PC鋼より線本数+6)</v>
      </c>
      <c r="G1321" s="218"/>
      <c r="H1321" s="219"/>
      <c r="I1321" s="213" t="str" cm="1">
        <f t="array" ref="I1321">_xlfn.IFS(OR(D1282=0,D1283="　"),"",MID(D1285,1,3)="アルミ","",MID(D1285,1,3)&lt;&gt;"アルミ","缶")</f>
        <v>缶</v>
      </c>
      <c r="J1321" s="224" cm="1">
        <f t="array" ref="J1321">_xlfn.IFS(OR(D1282=0,D1283="　"),"",MID(D1285,1,3)="アルミ","",MID(D1285,1,3)&lt;&gt;"アルミ",0.01*(MID(LEFT(D1283, LEN(D1283)-1),6,2)+IF(MID(D1283,4,1)="5",6,12)))</f>
        <v>0.1</v>
      </c>
      <c r="K1321" s="214">
        <f>IFERROR(D1282*J1321,"")</f>
        <v>1</v>
      </c>
    </row>
    <row r="1322" spans="2:11" ht="12" customHeight="1">
      <c r="B1322" s="206" t="str">
        <f>IF(OR(D1282=0,D1283="　",D1288="なし"),"","フリーパッカー注入ホース")</f>
        <v/>
      </c>
      <c r="C1322" s="207" t="str">
        <f>IF(OR(D1282=0,D1283="　",B1322=""),"","16/20、高密度ポリエチレン")</f>
        <v/>
      </c>
      <c r="D1322" s="208"/>
      <c r="E1322" s="209"/>
      <c r="F1322" s="210" t="str">
        <f>IF(B1322="","","L=自由長+緊張部長")</f>
        <v/>
      </c>
      <c r="G1322" s="211"/>
      <c r="H1322" s="212"/>
      <c r="I1322" s="213" t="str">
        <f>IF(OR(D1282=0,D1283="　",B1322=""),"","m")</f>
        <v/>
      </c>
      <c r="J1322" s="214" t="str">
        <f>IF(OR(D1282=0,D1283="　"),"",IF(B1322="","",MROUND(D1292+D1293,0.1)))</f>
        <v/>
      </c>
      <c r="K1322" s="214" t="str">
        <f>IFERROR(D1282*J1322,"")</f>
        <v/>
      </c>
    </row>
    <row r="1323" spans="2:11" ht="12" customHeight="1">
      <c r="B1323" s="225" t="str">
        <f>IF(OR(D1282=0,D1283="　",D1288="なし"),"","フリーパッカー")</f>
        <v/>
      </c>
      <c r="C1323" s="217" t="str" cm="1">
        <f t="array" ref="C1323">IF(OR(D1282=0,D1283="　",B1322=""),"",_xlfn.SWITCH(D1297,90,"PA-170",115,"PA-200",135,"PA-240",146,"PA-240",165,"PA-350")&amp;"、織布")</f>
        <v/>
      </c>
      <c r="D1323" s="208"/>
      <c r="E1323" s="209"/>
      <c r="F1323" s="226" t="str">
        <f>IF(B1323="","","L=自由長+0.5m")</f>
        <v/>
      </c>
      <c r="G1323" s="227"/>
      <c r="H1323" s="228"/>
      <c r="I1323" s="213" t="str">
        <f>IF(OR(D1283=0,D1284="　",B1323=""),"","m")</f>
        <v/>
      </c>
      <c r="J1323" s="214" t="str">
        <f>IF(OR(D1282=0,D1283="　"),"",IF(B1323="","",MROUND(D1292+0.5,0.1)))</f>
        <v/>
      </c>
      <c r="K1323" s="214" t="str">
        <f>IFERROR(D1282*J1323,"")</f>
        <v/>
      </c>
    </row>
    <row r="1324" spans="2:11" ht="12" customHeight="1">
      <c r="B1324" s="206" t="str">
        <f>IF(OR(D1282=0,D1283="　",D1288="なし"),"","パッカー取付加工")</f>
        <v/>
      </c>
      <c r="C1324" s="207"/>
      <c r="D1324" s="208"/>
      <c r="E1324" s="209"/>
      <c r="F1324" s="217" t="str">
        <f>IF(B1324="","","n=1")</f>
        <v/>
      </c>
      <c r="G1324" s="218"/>
      <c r="H1324" s="219"/>
      <c r="I1324" s="213" t="str">
        <f>IF(OR(D1284=0,D1285="　",B1324=""),"","式")</f>
        <v/>
      </c>
      <c r="J1324" s="220" t="str">
        <f>IF(OR(D1282=0,D1283="　"),"",MID(F1324,3,2))</f>
        <v/>
      </c>
      <c r="K1324" s="206" t="str">
        <f>IFERROR(D1282*J1324,"")</f>
        <v/>
      </c>
    </row>
    <row r="1325" spans="2:11" ht="12" customHeight="1">
      <c r="B1325" s="229"/>
      <c r="C1325" s="230"/>
      <c r="D1325" s="231"/>
      <c r="E1325" s="232"/>
      <c r="F1325" s="233"/>
      <c r="G1325" s="234"/>
      <c r="H1325" s="235"/>
      <c r="I1325" s="236"/>
      <c r="J1325" s="237"/>
      <c r="K1325" s="229"/>
    </row>
    <row r="1326" spans="2:11" ht="12" customHeight="1">
      <c r="B1326" s="238" t="s">
        <v>30</v>
      </c>
      <c r="C1326" s="239" t="s">
        <v>31</v>
      </c>
      <c r="D1326" s="240"/>
      <c r="E1326" s="241"/>
      <c r="F1326" s="242" t="s">
        <v>157</v>
      </c>
      <c r="G1326" s="243"/>
      <c r="H1326" s="244"/>
      <c r="I1326" s="245" t="s">
        <v>55</v>
      </c>
      <c r="J1326" s="246">
        <f>IFERROR(MROUND(0.25*PI()*(0.001*D1297)^2*(D1290+D1291+D1296)*(1+2.2),0.01),"")</f>
        <v>0.17</v>
      </c>
      <c r="K1326" s="246">
        <f>IFERROR(D1282*J1326,"")</f>
        <v>1.7000000000000002</v>
      </c>
    </row>
    <row r="1328" spans="2:11" ht="12" customHeight="1">
      <c r="B1328" s="247" t="s">
        <v>136</v>
      </c>
      <c r="C1328" s="247"/>
      <c r="D1328" s="247"/>
      <c r="F1328" s="163"/>
      <c r="G1328" s="164"/>
      <c r="H1328" s="164"/>
    </row>
    <row r="1329" spans="2:11" ht="12" customHeight="1">
      <c r="B1329" s="15" t="s">
        <v>111</v>
      </c>
      <c r="C1329" s="15"/>
      <c r="D1329" s="1"/>
      <c r="E1329" s="1"/>
      <c r="H1329" s="119"/>
      <c r="J1329" s="118"/>
    </row>
    <row r="1330" spans="2:11" ht="12" customHeight="1">
      <c r="B1330" s="165" t="s">
        <v>166</v>
      </c>
      <c r="C1330" s="3"/>
      <c r="D1330" s="1"/>
      <c r="E1330" s="1"/>
      <c r="F1330" s="8"/>
      <c r="G1330" s="8"/>
      <c r="H1330" s="102"/>
      <c r="I1330" s="28"/>
      <c r="J1330" s="118"/>
    </row>
    <row r="1331" spans="2:11" ht="12" customHeight="1">
      <c r="B1331" s="15" t="s">
        <v>40</v>
      </c>
      <c r="C1331" s="3"/>
      <c r="D1331" s="1"/>
      <c r="E1331" s="1"/>
      <c r="F1331" s="15" t="s">
        <v>54</v>
      </c>
      <c r="G1331" s="15"/>
      <c r="H1331" s="102"/>
      <c r="I1331" s="28"/>
    </row>
    <row r="1332" spans="2:11" ht="12" customHeight="1">
      <c r="B1332" s="2" t="s">
        <v>53</v>
      </c>
      <c r="C1332" s="2" t="s">
        <v>21</v>
      </c>
      <c r="D1332" s="2" t="s">
        <v>22</v>
      </c>
      <c r="E1332" s="17"/>
      <c r="F1332" s="49" t="s">
        <v>41</v>
      </c>
      <c r="G1332" s="97" t="s">
        <v>59</v>
      </c>
      <c r="H1332" s="49" t="s">
        <v>44</v>
      </c>
      <c r="I1332" s="2" t="s">
        <v>21</v>
      </c>
      <c r="J1332" s="49" t="s">
        <v>138</v>
      </c>
      <c r="K1332" s="2" t="s">
        <v>28</v>
      </c>
    </row>
    <row r="1333" spans="2:11" ht="12" customHeight="1">
      <c r="B1333" s="166" t="s">
        <v>25</v>
      </c>
      <c r="C1333" s="18" t="s">
        <v>24</v>
      </c>
      <c r="D1333" s="167">
        <v>10</v>
      </c>
      <c r="E1333" s="19"/>
      <c r="F1333" s="168" t="s">
        <v>43</v>
      </c>
      <c r="G1333" s="169" t="s">
        <v>113</v>
      </c>
      <c r="H1333" s="88" t="str" cm="1">
        <f t="array" ref="H1333">_xlfn.IFS(AND(F1333&lt;&gt;"非削孔",F1333&lt;&gt;"無設定"),D1348,F1333="非削孔",IF(MID(D1337,1,3)="土留め","非削孔","箱抜き"),F1333="無設定","無設定")</f>
        <v>箱抜き</v>
      </c>
      <c r="I1333" s="23" t="str">
        <f>IF(F1333="無設定","","m")</f>
        <v>m</v>
      </c>
      <c r="J1333" s="170">
        <v>0.5</v>
      </c>
      <c r="K1333" s="30">
        <f>D1333*J1333</f>
        <v>5</v>
      </c>
    </row>
    <row r="1334" spans="2:11" ht="12" customHeight="1">
      <c r="B1334" s="171" t="s">
        <v>37</v>
      </c>
      <c r="C1334" s="50" t="s">
        <v>38</v>
      </c>
      <c r="D1334" s="172" t="s">
        <v>159</v>
      </c>
      <c r="E1334" s="173"/>
      <c r="F1334" s="174" t="s">
        <v>49</v>
      </c>
      <c r="G1334" s="169" t="s">
        <v>114</v>
      </c>
      <c r="H1334" s="88" cm="1">
        <f t="array" ref="H1334">_xlfn.IFS(AND(F1334&lt;&gt;"非削孔",F1334&lt;&gt;"無設定"),D1348,F1334="非削孔","箱抜き",F1334="無設定","無設定")</f>
        <v>90</v>
      </c>
      <c r="I1334" s="23" t="str">
        <f t="shared" ref="I1334:I1342" si="52">IF(F1334="無設定","","m")</f>
        <v>m</v>
      </c>
      <c r="J1334" s="170">
        <v>2.64</v>
      </c>
      <c r="K1334" s="30">
        <f>D1333*J1334</f>
        <v>26.400000000000002</v>
      </c>
    </row>
    <row r="1335" spans="2:11" ht="12" customHeight="1">
      <c r="B1335" s="52" t="s">
        <v>39</v>
      </c>
      <c r="C1335" s="91" t="s">
        <v>38</v>
      </c>
      <c r="D1335" s="175" t="s">
        <v>60</v>
      </c>
      <c r="E1335" s="140"/>
      <c r="F1335" s="174" t="s">
        <v>49</v>
      </c>
      <c r="G1335" s="169" t="s">
        <v>115</v>
      </c>
      <c r="H1335" s="88" cm="1">
        <f t="array" ref="H1335">_xlfn.IFS(AND(F1335&lt;&gt;"非削孔",F1335&lt;&gt;"無設定"),D1348,F1335="非削孔","箱抜き",F1335="無設定","無設定")</f>
        <v>90</v>
      </c>
      <c r="I1335" s="23" t="str">
        <f t="shared" si="52"/>
        <v>m</v>
      </c>
      <c r="J1335" s="170">
        <v>5.36</v>
      </c>
      <c r="K1335" s="30">
        <f>D1333*J1335</f>
        <v>53.6</v>
      </c>
    </row>
    <row r="1336" spans="2:11" ht="12" customHeight="1">
      <c r="B1336" s="147" t="s">
        <v>140</v>
      </c>
      <c r="C1336" s="91" t="s">
        <v>38</v>
      </c>
      <c r="D1336" s="176" t="s">
        <v>141</v>
      </c>
      <c r="E1336" s="141"/>
      <c r="F1336" s="174" t="s">
        <v>48</v>
      </c>
      <c r="G1336" s="169"/>
      <c r="H1336" s="88" t="str" cm="1">
        <f t="array" ref="H1336">_xlfn.IFS(AND(F1336&lt;&gt;"非削孔",F1336&lt;&gt;"無設定"),D1348,F1336="非削孔","箱抜き",F1336="無設定","無設定")</f>
        <v>無設定</v>
      </c>
      <c r="I1336" s="23" t="str">
        <f t="shared" si="52"/>
        <v/>
      </c>
      <c r="J1336" s="170">
        <v>0</v>
      </c>
      <c r="K1336" s="30">
        <f>D1333*J1336</f>
        <v>0</v>
      </c>
    </row>
    <row r="1337" spans="2:11" ht="12" customHeight="1">
      <c r="B1337" s="147" t="s">
        <v>142</v>
      </c>
      <c r="C1337" s="91" t="s">
        <v>38</v>
      </c>
      <c r="D1337" s="177" t="s">
        <v>160</v>
      </c>
      <c r="E1337" s="21"/>
      <c r="F1337" s="174" t="s">
        <v>48</v>
      </c>
      <c r="G1337" s="169"/>
      <c r="H1337" s="88" t="str" cm="1">
        <f t="array" ref="H1337">_xlfn.IFS(AND(F1337&lt;&gt;"非削孔",F1337&lt;&gt;"無設定"),D1348,F1337="非削孔","箱抜き",F1337="無設定","無設定")</f>
        <v>無設定</v>
      </c>
      <c r="I1337" s="23" t="str">
        <f t="shared" si="52"/>
        <v/>
      </c>
      <c r="J1337" s="170">
        <v>0</v>
      </c>
      <c r="K1337" s="30">
        <f>D1333*J1337</f>
        <v>0</v>
      </c>
    </row>
    <row r="1338" spans="2:11" ht="12" customHeight="1">
      <c r="B1338" s="114" t="str">
        <f>IF(MID(D1337,1,3)="土留め",D1337&amp;"の種類","")</f>
        <v/>
      </c>
      <c r="C1338" s="91" t="s">
        <v>38</v>
      </c>
      <c r="D1338" s="178" t="s">
        <v>71</v>
      </c>
      <c r="E1338" s="21"/>
      <c r="F1338" s="174" t="s">
        <v>48</v>
      </c>
      <c r="G1338" s="169"/>
      <c r="H1338" s="88" t="str" cm="1">
        <f t="array" ref="H1338">_xlfn.IFS(AND(F1338&lt;&gt;"非削孔",F1338&lt;&gt;"無設定"),D1348,F1338="非削孔","箱抜き",F1338="無設定","無設定")</f>
        <v>無設定</v>
      </c>
      <c r="I1338" s="23" t="str">
        <f t="shared" si="52"/>
        <v/>
      </c>
      <c r="J1338" s="170">
        <v>0</v>
      </c>
      <c r="K1338" s="30">
        <f>D1333*J1338</f>
        <v>0</v>
      </c>
    </row>
    <row r="1339" spans="2:11" ht="12" customHeight="1">
      <c r="B1339" s="179" t="s">
        <v>50</v>
      </c>
      <c r="C1339" s="180" t="s">
        <v>38</v>
      </c>
      <c r="D1339" s="181" t="s">
        <v>51</v>
      </c>
      <c r="E1339" s="182"/>
      <c r="F1339" s="174" t="s">
        <v>48</v>
      </c>
      <c r="G1339" s="169"/>
      <c r="H1339" s="88" t="str" cm="1">
        <f t="array" ref="H1339">_xlfn.IFS(AND(F1339&lt;&gt;"非削孔",F1339&lt;&gt;"無設定"),D1348,F1339="非削孔","箱抜き",F1339="無設定","無設定")</f>
        <v>無設定</v>
      </c>
      <c r="I1339" s="23" t="str">
        <f t="shared" si="52"/>
        <v/>
      </c>
      <c r="J1339" s="170">
        <v>0</v>
      </c>
      <c r="K1339" s="30">
        <f>D1333*J1339</f>
        <v>0</v>
      </c>
    </row>
    <row r="1340" spans="2:11" ht="12" customHeight="1">
      <c r="B1340" s="160" t="str" cm="1">
        <f t="array" ref="B1340">"頭部自由長"&amp;_xlfn.IFS(MID(D1337,1,2)="なし","",MID(D1337,1,3)="受圧体","(受圧体)",MID(D1337,1,3)="のり面","(角度台座＋受圧体)",MID(D1337,1,3)="構造物","(壁面台座)",MID(D1337,1,3)="土留め","(台座+腹起し)")&amp;"　Lfh"</f>
        <v>頭部自由長(角度台座＋受圧体)　Lfh</v>
      </c>
      <c r="C1340" s="155" t="s">
        <v>23</v>
      </c>
      <c r="D1340" s="183">
        <v>0.5</v>
      </c>
      <c r="E1340" s="21"/>
      <c r="F1340" s="174" t="s">
        <v>144</v>
      </c>
      <c r="G1340" s="169"/>
      <c r="H1340" s="88" cm="1">
        <f t="array" ref="H1340">_xlfn.IFS(AND(F1340&lt;&gt;"非削孔",F1340&lt;&gt;"無設定"),D1348,F1340="非削孔","箱抜き",F1340="無設定","無設定")</f>
        <v>90</v>
      </c>
      <c r="I1340" s="23" t="str">
        <f t="shared" si="52"/>
        <v>m</v>
      </c>
      <c r="J1340" s="170">
        <v>0</v>
      </c>
      <c r="K1340" s="30">
        <f>D1333*J1340</f>
        <v>0</v>
      </c>
    </row>
    <row r="1341" spans="2:11" ht="12" customHeight="1">
      <c r="B1341" s="22" t="s">
        <v>108</v>
      </c>
      <c r="C1341" s="23" t="s">
        <v>23</v>
      </c>
      <c r="D1341" s="184">
        <v>4</v>
      </c>
      <c r="E1341" s="21"/>
      <c r="F1341" s="174" t="s">
        <v>48</v>
      </c>
      <c r="G1341" s="169"/>
      <c r="H1341" s="88" t="str" cm="1">
        <f t="array" ref="H1341">_xlfn.IFS(AND(F1341&lt;&gt;"非削孔",F1341&lt;&gt;"無設定"),D1348,F1341="非削孔","箱抜き",F1341="無設定","無設定")</f>
        <v>無設定</v>
      </c>
      <c r="I1341" s="23" t="str">
        <f t="shared" si="52"/>
        <v/>
      </c>
      <c r="J1341" s="170">
        <v>0</v>
      </c>
      <c r="K1341" s="30">
        <f>D1333*J1341</f>
        <v>0</v>
      </c>
    </row>
    <row r="1342" spans="2:11" ht="12" customHeight="1">
      <c r="B1342" s="157" t="s">
        <v>36</v>
      </c>
      <c r="C1342" s="158" t="s">
        <v>23</v>
      </c>
      <c r="D1342" s="185">
        <v>4</v>
      </c>
      <c r="F1342" s="186" t="str" cm="1">
        <f t="array" ref="F1342">INDEX(F1333:H1341,MATCH("無設定",F1333:F1341,0)-1,MATCH(F1332,F1332:H1332,0))</f>
        <v>軟　岩</v>
      </c>
      <c r="G1342" s="100" t="str" cm="1">
        <f t="array" ref="G1342">INDEX(F1333:H1341,MATCH("無設定",F1333:F1341,0)-1,MATCH(G1332,F1332:H1332,0))&amp;"　(先端長 L2d)"</f>
        <v>風化岩 CL　(先端長 L2d)</v>
      </c>
      <c r="H1342" s="88" cm="1">
        <f t="array" ref="H1342">INDEX(F1333:H1341,MATCH("無設定",F1333:F1341,0)-1,MATCH(H1332,F1332:H1332,0))</f>
        <v>90</v>
      </c>
      <c r="I1342" s="23" t="str">
        <f t="shared" si="52"/>
        <v>m</v>
      </c>
      <c r="J1342" s="98">
        <f>D1347</f>
        <v>0.25</v>
      </c>
      <c r="K1342" s="78">
        <f>IFERROR(D1333*J1342,"")</f>
        <v>2.5</v>
      </c>
    </row>
    <row r="1343" spans="2:11" ht="12" customHeight="1">
      <c r="B1343" s="154" t="s">
        <v>145</v>
      </c>
      <c r="C1343" s="155" t="s">
        <v>23</v>
      </c>
      <c r="D1343" s="187">
        <f>IF(OR(D1333=0,D1334="　"),"──",SUM(D1340:D1341))</f>
        <v>4.5</v>
      </c>
      <c r="E1343" s="19"/>
      <c r="F1343" s="188"/>
      <c r="G1343" s="75" t="s">
        <v>124</v>
      </c>
      <c r="H1343" s="103"/>
      <c r="I1343" s="18" t="s">
        <v>23</v>
      </c>
      <c r="J1343" s="74">
        <f>SUMIFS(J1333:J1342,F1333:F1342,"&lt;&gt;非削孔",F1333:F1342,"&lt;&gt;無設定")</f>
        <v>8.25</v>
      </c>
      <c r="K1343" s="95">
        <f>SUMIFS(K1333:K1342,F1333:F1342,"&lt;&gt;非削孔",F1333:F1342,"&lt;&gt;無設定")</f>
        <v>82.5</v>
      </c>
    </row>
    <row r="1344" spans="2:11" ht="12" customHeight="1">
      <c r="B1344" s="146" t="s">
        <v>146</v>
      </c>
      <c r="C1344" s="23" t="s">
        <v>23</v>
      </c>
      <c r="D1344" s="189" cm="1">
        <f t="array" ref="D1344">IF(OR(D1333=0,D1334="　"),"──",IF(MID(D1334,4,1)="5",_xlfn.IFS(1*MID(LEFT(D1334, LEN(D1334)-1),6,2)&lt;8,1,1*MID(LEFT(D1334, LEN(D1334)-1),6,2)&lt;13,1.2),_xlfn.IFS(1*MID(LEFT(D1334, LEN(D1334)-1),6,2)&lt;6,1,1*MID(LEFT(D1334, LEN(D1334)-1),6,2)&lt;15,1.2)))</f>
        <v>1</v>
      </c>
      <c r="E1344" s="19"/>
      <c r="F1344" s="190"/>
      <c r="G1344" s="76" t="s">
        <v>47</v>
      </c>
      <c r="H1344" s="104"/>
      <c r="I1344" s="79" t="s">
        <v>46</v>
      </c>
      <c r="J1344" s="77" t="str">
        <f>IF(OR(D1333=0,D1334="　"),"",IF(SUM(D1341:D1342,D1347)=J1343,"OK","NG"))</f>
        <v>OK</v>
      </c>
      <c r="K1344" s="145" t="str">
        <f>IF(J1344&lt;&gt;"NG","──",J1343-SUM(D1341:D1342,D1347))</f>
        <v>──</v>
      </c>
    </row>
    <row r="1345" spans="2:11" ht="12" customHeight="1">
      <c r="B1345" s="22" t="s">
        <v>125</v>
      </c>
      <c r="C1345" s="23" t="s">
        <v>35</v>
      </c>
      <c r="D1345" s="84">
        <f>IF(OR(D1333=0,D1334="　"),"──",0.2)</f>
        <v>0.2</v>
      </c>
      <c r="F1345" s="191" t="s">
        <v>58</v>
      </c>
      <c r="G1345" s="248" t="s">
        <v>110</v>
      </c>
      <c r="H1345" s="249"/>
      <c r="I1345" s="249"/>
      <c r="J1345" s="249"/>
      <c r="K1345" s="250"/>
    </row>
    <row r="1346" spans="2:11" ht="12" customHeight="1">
      <c r="B1346" s="6" t="s">
        <v>147</v>
      </c>
      <c r="C1346" s="23" t="s">
        <v>23</v>
      </c>
      <c r="D1346" s="60">
        <f>IF(OR(D1333=0,D1334="　"),"──",SUM(D1342:D1345))</f>
        <v>9.6999999999999993</v>
      </c>
    </row>
    <row r="1347" spans="2:11" ht="12" customHeight="1">
      <c r="B1347" s="25" t="s">
        <v>127</v>
      </c>
      <c r="C1347" s="26" t="s">
        <v>23</v>
      </c>
      <c r="D1347" s="27">
        <f>IF(OR(D1333=0,D1334="　"),"──",0.25)</f>
        <v>0.25</v>
      </c>
      <c r="F1347" s="8"/>
      <c r="G1347" s="8"/>
      <c r="H1347" s="102"/>
    </row>
    <row r="1348" spans="2:11" ht="12" customHeight="1">
      <c r="B1348" s="95" t="s">
        <v>123</v>
      </c>
      <c r="C1348" s="18" t="s">
        <v>32</v>
      </c>
      <c r="D1348" s="192">
        <v>90</v>
      </c>
      <c r="E1348" s="193" t="str">
        <f>IF(D1348&lt;D1349,"NG：削孔径不適合","")</f>
        <v/>
      </c>
      <c r="F1348" s="8"/>
      <c r="G1348" s="8"/>
      <c r="H1348" s="102"/>
    </row>
    <row r="1349" spans="2:11" ht="12" customHeight="1">
      <c r="B1349" s="25" t="s">
        <v>122</v>
      </c>
      <c r="C1349" s="26" t="s">
        <v>32</v>
      </c>
      <c r="D1349" s="194" cm="1">
        <f t="array" ref="D1349">IF(OR(D1333=0,D1334="　"),"──",IF(D1339="なし",IF(MID(D1334,4,1)="5",_xlfn.IFS(1*MID(LEFT(D1334, LEN(D1334)-1),6,2)&lt;6,90,1*MID(LEFT(D1334, LEN(D1334)-1),6,2)&lt;9,115,1*MID(LEFT(D1334, LEN(D1334)-1),6,2)&gt;8,135),_xlfn.IFS(1*MID(LEFT(D1334, LEN(D1334)-1),6,2)&lt;4,90,1*MID(LEFT(D1334, LEN(D1334)-1),6,2)&lt;7,115,1*MID(LEFT(D1334, LEN(D1334)-1),6,2)&lt;10,135,1*MID(LEFT(D1334, LEN(D1334)-1),6,2)&lt;13,146,1*MID(LEFT(D1334, LEN(D1334)-1),6,2)&gt;12,165)),IF(MID(D1334,4,1)="5",_xlfn.IFS(1*MID(LEFT(D1334, LEN(D1334)-1),6,2)&lt;3,90,1*MID(LEFT(D1334, LEN(D1334)-1),6,2)&lt;7,115,1*MID(LEFT(D1334, LEN(D1334)-1),6,2)&lt;9,135,1*MID(LEFT(D1334, LEN(D1334)-1),6,2)&gt;8,146),_xlfn.IFS(1*MID(LEFT(D1334, LEN(D1334)-1),6,2)&lt;3,90,1*MID(LEFT(D1334, LEN(D1334)-1),6,2)&lt;4,115,1*MID(LEFT(D1334, LEN(D1334)-1),6,2)&lt;6,135,1*MID(LEFT(D1334, LEN(D1334)-1),6,2)&lt;10,146,1*MID(LEFT(D1334, LEN(D1334)-1),6,2)&lt;13,165,1*MID(LEFT(D1334, LEN(D1334)-1),6,2)&gt;12,216))))</f>
        <v>90</v>
      </c>
      <c r="E1349" s="195"/>
      <c r="F1349" s="8"/>
      <c r="G1349" s="8"/>
      <c r="H1349" s="102"/>
    </row>
    <row r="1350" spans="2:11" ht="12" customHeight="1">
      <c r="B1350" s="20"/>
      <c r="C1350" s="46"/>
      <c r="D1350" s="117"/>
      <c r="F1350" s="8"/>
      <c r="G1350" s="8"/>
      <c r="H1350" s="102"/>
    </row>
    <row r="1351" spans="2:11" ht="12" customHeight="1">
      <c r="B1351" s="15" t="str">
        <f>"■"&amp;MID(B1328,2,14)</f>
        <v>■本設：EHDアンカーHP工法</v>
      </c>
      <c r="C1351" s="3"/>
      <c r="D1351" s="1"/>
      <c r="E1351" s="1"/>
      <c r="F1351" s="8"/>
      <c r="G1351" s="8"/>
      <c r="H1351" s="102"/>
    </row>
    <row r="1352" spans="2:11" ht="12" customHeight="1">
      <c r="B1352" s="2" t="s">
        <v>17</v>
      </c>
      <c r="C1352" s="43"/>
      <c r="D1352" s="196" t="s">
        <v>148</v>
      </c>
      <c r="E1352" s="135"/>
      <c r="F1352" s="16"/>
      <c r="G1352" s="61" t="s">
        <v>42</v>
      </c>
      <c r="H1352" s="97"/>
      <c r="I1352" s="2" t="s">
        <v>21</v>
      </c>
      <c r="J1352" s="49" t="s">
        <v>149</v>
      </c>
      <c r="K1352" s="2" t="s">
        <v>28</v>
      </c>
    </row>
    <row r="1353" spans="2:11" ht="12" customHeight="1">
      <c r="B1353" s="197" t="s">
        <v>150</v>
      </c>
      <c r="C1353" s="198" t="str">
        <f>IF(OR(D1333=0,D1334="　"),"",D1334&amp;" ("&amp;MID(LEFT(D1334, LEN(D1334)-1),6,2)&amp;IF(MID(D1334,4,1)="5","φ12.7","φ15.2")&amp;")")</f>
        <v>EHD5-4H (4φ12.7)</v>
      </c>
      <c r="D1353" s="199"/>
      <c r="E1353" s="200"/>
      <c r="F1353" s="201" t="str">
        <f>"W=テンドン長×PC鋼より線本数×"&amp;IF(MID(D1334,4,1)="5","0.774","1.101")&amp;"kg/m"</f>
        <v>W=テンドン長×PC鋼より線本数×0.774kg/m</v>
      </c>
      <c r="G1353" s="202"/>
      <c r="H1353" s="203"/>
      <c r="I1353" s="204" t="s">
        <v>11</v>
      </c>
      <c r="J1353" s="205">
        <f>IF(OR(D1333=0,D1334="　"),"",MROUND(D1346*MID(LEFT(D1334, LEN(D1334)-1),6,2)*IF(MID(D1334,4,1)="5","0.774","1.101"),0.01))</f>
        <v>30.03</v>
      </c>
      <c r="K1353" s="205">
        <f>IFERROR(D1333*J1353,"")</f>
        <v>300.3</v>
      </c>
    </row>
    <row r="1354" spans="2:11" ht="12" customHeight="1">
      <c r="B1354" s="206" t="s">
        <v>151</v>
      </c>
      <c r="C1354" s="207"/>
      <c r="D1354" s="208"/>
      <c r="E1354" s="209"/>
      <c r="F1354" s="210" t="s">
        <v>33</v>
      </c>
      <c r="G1354" s="211"/>
      <c r="H1354" s="212"/>
      <c r="I1354" s="213" t="s">
        <v>12</v>
      </c>
      <c r="J1354" s="214">
        <f>IF(OR(D1333=0,D1334="　"),"",MROUND(D1346,0.1))</f>
        <v>9.7000000000000011</v>
      </c>
      <c r="K1354" s="214">
        <f>IFERROR(D1333*J1354,"")</f>
        <v>97.000000000000014</v>
      </c>
    </row>
    <row r="1355" spans="2:11" ht="12" customHeight="1">
      <c r="B1355" s="206" t="str">
        <f>"頭部キャップ"</f>
        <v>頭部キャップ</v>
      </c>
      <c r="C1355" s="207" t="str" cm="1">
        <f t="array" ref="C1355">IF(OR(D1333=0,D1334="　"),"",IF(MID(D1334,4,1)="5",_xlfn.SWITCH(1*MID(LEFT(D1334, LEN(D1334)-1),6,2),1,"S",2,"S",3,"S",4,"S",5,"M",6,"M",7,"M",8,"L",9,"L",10,"L",11,"L",12,"L"),_xlfn.SWITCH(1*MID(LEFT(D1334, LEN(D1334)-1),6,2),1,"S",2,"S",3,"M",4,"M",5,"L",6,"L",7,"L",8,"LL",9,"LL",10,"LL",11,"LL",12,"LL",13,"LL",14,"LL"))&amp;"型"&amp;D1336&amp;IF(OR(MID(D1336,1,2)="透明",MID(D1336,1,2)="5窓"),"、PC樹脂","")&amp;"、ｱﾙﾐAC4C相当"&amp;_xlfn.IFS(MID(D1335,1,3)="防食Ⅱ","",MID(D1335,5,2)="塩害","、防食：ﾀｹｺｰﾄ処理",MID(D1335,5,2)="酸性","、防食：重防食処理"))</f>
        <v>S型透明キャップ、PC樹脂、ｱﾙﾐAC4C相当</v>
      </c>
      <c r="D1355" s="215"/>
      <c r="E1355" s="216"/>
      <c r="F1355" s="217" t="str">
        <f t="shared" ref="F1355:F1361" si="53">"n=1"</f>
        <v>n=1</v>
      </c>
      <c r="G1355" s="218"/>
      <c r="H1355" s="219"/>
      <c r="I1355" s="213" t="s">
        <v>13</v>
      </c>
      <c r="J1355" s="220" t="str">
        <f>IF(OR(D1333=0,D1334="　"),"",MID(F1355,3,2))</f>
        <v>1</v>
      </c>
      <c r="K1355" s="214">
        <f>IFERROR(D1333*J1355,"")</f>
        <v>10</v>
      </c>
    </row>
    <row r="1356" spans="2:11" ht="12" customHeight="1">
      <c r="B1356" s="206" t="s">
        <v>5</v>
      </c>
      <c r="C1356" s="207" t="str" cm="1">
        <f t="array" ref="C1356">IF(OR(D1333=0,D1334="　"),"",IF(MID(D1334,4,1)="5","G5"&amp;_xlfn.SWITCH(1*MID(LEFT(D1334, LEN(D1334)-1),6,2),1,"01",2,"02",3,"03",4,"04",5,"07",6,"07",7,"07",8,"09",9,"09",10,"12",11,"12",12,"12"),"G6"&amp;_xlfn.SWITCH(1*MID(LEFT(D1334, LEN(D1334)-1),6,2),1,"01",2,"02",3,"03",4,"04",5,"07",6,"07",7,"07",8,"09",9,"09",10,"12",11,"12",12,"12",13,"14",14,"14"))&amp;"、S45C相当"&amp;IF(MID(D1336,1,3)&lt;&gt;"アルミ","、防食：無電解Niめっき",""))</f>
        <v>G504、S45C相当、防食：無電解Niめっき</v>
      </c>
      <c r="D1356" s="208"/>
      <c r="E1356" s="209"/>
      <c r="F1356" s="217" t="str">
        <f t="shared" si="53"/>
        <v>n=1</v>
      </c>
      <c r="G1356" s="218"/>
      <c r="H1356" s="219"/>
      <c r="I1356" s="213" t="s">
        <v>13</v>
      </c>
      <c r="J1356" s="220" t="str">
        <f>IF(OR(D1333=0,D1334="　"),"",MID(F1356,3,2))</f>
        <v>1</v>
      </c>
      <c r="K1356" s="214">
        <f>IFERROR(D1333*J1356,"")</f>
        <v>10</v>
      </c>
    </row>
    <row r="1357" spans="2:11" ht="12" customHeight="1">
      <c r="B1357" s="206" t="s">
        <v>152</v>
      </c>
      <c r="C1357" s="207" t="str" cm="1">
        <f t="array" ref="C1357">IF(OR(D1333=0,D1334="　"),"",IF(MID(D1334,4,1)="5","G5"&amp;_xlfn.SWITCH(1*MID(LEFT(D1334, LEN(D1334)-1),6,2),1,"01",2,"02",3,"03",4,"04",5,"07",6,"07",7,"07",8,"09",9,"09",10,"12",11,"12",12,"12"),"G6"&amp;_xlfn.SWITCH(1*MID(LEFT(D1334, LEN(D1334)-1),6,2),1,"01",2,"02",3,"03",4,"04",5,"07",6,"07",7,"07",8,"09",9,"09",10,"12",11,"12",12,"12",13,"14",14,"14"))&amp;"、S45C相当"&amp;IF(MID(D1336,1,3)&lt;&gt;"アルミ","、防食：無電解Niめっき",""))</f>
        <v>G504、S45C相当、防食：無電解Niめっき</v>
      </c>
      <c r="D1357" s="208"/>
      <c r="E1357" s="209"/>
      <c r="F1357" s="217" t="str">
        <f t="shared" si="53"/>
        <v>n=1</v>
      </c>
      <c r="G1357" s="218"/>
      <c r="H1357" s="219"/>
      <c r="I1357" s="213" t="s">
        <v>13</v>
      </c>
      <c r="J1357" s="220" t="str">
        <f>IF(OR(D1333=0,D1334="　"),"",MID(F1357,3,2))</f>
        <v>1</v>
      </c>
      <c r="K1357" s="214">
        <f>IFERROR(D1333*J1357,"")</f>
        <v>10</v>
      </c>
    </row>
    <row r="1358" spans="2:11" ht="12" customHeight="1">
      <c r="B1358" s="206" t="s">
        <v>7</v>
      </c>
      <c r="C1358" s="207" t="str">
        <f>IF(OR(D1333=0,D1334="　"),"",IF(1*MID(D1334,4,1)=5,"ECF12.7","ECF15.2")&amp;"、SCM415相当"&amp;IF(MID(D1336,1,3)&lt;&gt;"アルミ","、防食：無電解Niめっき",""))</f>
        <v>ECF12.7、SCM415相当、防食：無電解Niめっき</v>
      </c>
      <c r="D1358" s="208"/>
      <c r="E1358" s="209"/>
      <c r="F1358" s="217" t="str">
        <f t="shared" si="53"/>
        <v>n=1</v>
      </c>
      <c r="G1358" s="218"/>
      <c r="H1358" s="219"/>
      <c r="I1358" s="213" t="s">
        <v>27</v>
      </c>
      <c r="J1358" s="220" t="str">
        <f>IF(OR(D1333=0,D1334="　"),"",MID(F1358,3,2))</f>
        <v>1</v>
      </c>
      <c r="K1358" s="214">
        <f>IFERROR(D1333*J1358,"")</f>
        <v>10</v>
      </c>
    </row>
    <row r="1359" spans="2:11" ht="12" customHeight="1">
      <c r="B1359" s="206" t="s">
        <v>153</v>
      </c>
      <c r="C1359" s="207" t="str" cm="1">
        <f t="array" ref="C1359">IF(OR(D1333=0,D1334="　"),"",IF(MID(D1334,4,1)="5","G5"&amp;_xlfn.SWITCH(1*MID(LEFT(D1334, LEN(D1334)-1),6,2),1,"01",2,"04",3,"03",4,"04",5,"07",6,"07",7,"07",8,"12",9,"12",10,"12",11,"12",12,"12"),"G6"&amp;_xlfn.SWITCH(1*MID(LEFT(D1334, LEN(D1334)-1),6,2),1,"01",2,"02",3,"03",4,"04",5,"07",6,"07",7,"07",8,"12",9,"12",10,"12",11,"12",12,"12",13,"14",14,"14"))&amp;"、SS400相当、防食："&amp;_xlfn.IFS(MID(D1335,1,3)="防食Ⅱ","HDZT77めっき",MID(D1335,5,2)="塩害","ｱﾙﾐﾅｲｽﾞ処理",MID(D1335,5,2)="酸性","重防食処理"))</f>
        <v>G504、SS400相当、防食：HDZT77めっき</v>
      </c>
      <c r="D1359" s="208"/>
      <c r="E1359" s="209"/>
      <c r="F1359" s="217" t="str">
        <f t="shared" si="53"/>
        <v>n=1</v>
      </c>
      <c r="G1359" s="218"/>
      <c r="H1359" s="219"/>
      <c r="I1359" s="213" t="s">
        <v>16</v>
      </c>
      <c r="J1359" s="220" t="str">
        <f>IF(OR(D1333=0,D1334="　"),"",MID(F1359,3,2))</f>
        <v>1</v>
      </c>
      <c r="K1359" s="214">
        <f>IFERROR(D1333*J1359,"")</f>
        <v>10</v>
      </c>
    </row>
    <row r="1360" spans="2:11" ht="12" customHeight="1">
      <c r="B1360" s="206" t="str">
        <f>IF(MID(D1337,1,3)="のり面","管付","")&amp;"支圧板"</f>
        <v>管付支圧板</v>
      </c>
      <c r="C1360" s="221" t="str" cm="1">
        <f t="array" ref="C1360">IF(OR(D1333=0,D1334="　"),"","PL"&amp;IF(MID(D1337,1,3)="のり面","P","")&amp;IF(MID(D1334,4,1)="5","5-"&amp;_xlfn.SWITCH(1*MID(LEFT(D1334, LEN(D1334)-1),6,2),1,"1",2,"2",3,"3",4,"4",5,"5",6,"6",7,"7",8,"9",9,"9",10,"10",11,"11",12,"12"),"6-"&amp;_xlfn.SWITCH(1*MID(LEFT(D1334, LEN(D1334)-1),6,2),1,"1",2,"2",3,"3",4,"4",5,"6",6,"6",7,"7",8,"8",9,"9",10,"10",11,"11",12,"12",13,"14",14,"14"))&amp;"、SS400相当、防食："&amp;_xlfn.IFS(MID(D1335,1,3)="防食Ⅱ","HDZT77めっき",MID(D1335,5,2)="塩害","ｱﾙﾐﾅｲｽﾞ処理",MID(D1335,5,2)="酸性","重防食処理"))</f>
        <v>PLP5-4、SS400相当、防食：HDZT77めっき</v>
      </c>
      <c r="D1360" s="208"/>
      <c r="E1360" s="209"/>
      <c r="F1360" s="217" t="str">
        <f t="shared" si="53"/>
        <v>n=1</v>
      </c>
      <c r="G1360" s="218"/>
      <c r="H1360" s="219"/>
      <c r="I1360" s="213" t="s">
        <v>16</v>
      </c>
      <c r="J1360" s="220" t="str">
        <f>IF(OR(D1333=0,D1334="　"),"",MID(F1360,3,2))</f>
        <v>1</v>
      </c>
      <c r="K1360" s="214">
        <f>IFERROR(D1333*J1360,"")</f>
        <v>10</v>
      </c>
    </row>
    <row r="1361" spans="2:11" ht="12" customHeight="1">
      <c r="B1361" s="206" t="s">
        <v>154</v>
      </c>
      <c r="C1361" s="207" t="str">
        <f>IF(OR(D1333=0,D1334="　"),"","G"&amp;MID(LEFT(D1334, LEN(D1334)-1),4,4)&amp;"、NBR45相当")</f>
        <v>G5-4、NBR45相当</v>
      </c>
      <c r="D1361" s="208"/>
      <c r="E1361" s="209"/>
      <c r="F1361" s="217" t="str">
        <f t="shared" si="53"/>
        <v>n=1</v>
      </c>
      <c r="G1361" s="218"/>
      <c r="H1361" s="219"/>
      <c r="I1361" s="213" t="s">
        <v>13</v>
      </c>
      <c r="J1361" s="220" t="str">
        <f>IF(OR(D1333=0,D1334="　"),"",MID(F1361,3,2))</f>
        <v>1</v>
      </c>
      <c r="K1361" s="214">
        <f>IFERROR(D1333*J1361,"")</f>
        <v>10</v>
      </c>
    </row>
    <row r="1362" spans="2:11" ht="12" customHeight="1">
      <c r="B1362" s="206" t="str" cm="1">
        <f t="array" ref="B1362">_xlfn.IFS(OR(D1333=0,D1334="　"),"",MID(D1336,1,3)="アルミ","頭部防錆油",MID(D1336,1,3)&lt;&gt;"アルミ","余長キャップ")</f>
        <v>余長キャップ</v>
      </c>
      <c r="C1362" s="221" t="str" cm="1">
        <f t="array" ref="C1362">_xlfn.IFS(OR(D1333=0,D1334="　"),"",MID(D1336,1,3)="アルミ","PCコートC",MID(D1336,1,3)&lt;&gt;"アルミ","TC"&amp;MID(D1334,4,1)&amp;"、高密度ポチエチレン")</f>
        <v>TC5、高密度ポチエチレン</v>
      </c>
      <c r="D1362" s="208"/>
      <c r="E1362" s="209"/>
      <c r="F1362" s="217" t="str" cm="1">
        <f t="array" ref="F1362">_xlfn.IFS(OR(D1333=0,D1334="　"),"",MID(D1336,1,3)="アルミ","W="&amp;IF(MID(D1334,4,1)="5",_xlfn.SWITCH(1*MID(LEFT(D1334, LEN(D1334)-1),6,2),1,1.9,2,1.3,3,1.3,4,1.3,5,1.6,6,1.6,7,1.6,8,3.1,9,3.1,10,3.1,11,3.1,12,3.1),"G6"&amp;_xlfn.SWITCH(1*MID(LEFT(D1334, LEN(D1334)-1),6,2),1,1.8,2,1.3,3,1.8,4,1.8,5,3.3,6,3.3,7,3.3,8,9.9,9,9.9,10,9.9,11,9.9,12,9.9,13,9.9,14,9.9)),MID(D1336,1,3)&lt;&gt;"アルミ","n=1")</f>
        <v>n=1</v>
      </c>
      <c r="G1362" s="218"/>
      <c r="H1362" s="219"/>
      <c r="I1362" s="213" t="str" cm="1">
        <f t="array" ref="I1362">_xlfn.IFS(OR(D1333=0,D1334="　"),"",MID(D1336,1,3)="アルミ","kg",MID(D1336,1,3)&lt;&gt;"アルミ","式")</f>
        <v>式</v>
      </c>
      <c r="J1362" s="220" t="str">
        <f>IF(OR(D1333=0,D1334="　"),"",MID(F1362,3,4))</f>
        <v>1</v>
      </c>
      <c r="K1362" s="214">
        <f>IFERROR(D1333*J1362,"")</f>
        <v>10</v>
      </c>
    </row>
    <row r="1363" spans="2:11" ht="12" customHeight="1">
      <c r="B1363" s="206" t="s">
        <v>9</v>
      </c>
      <c r="C1363" s="207" t="str" cm="1">
        <f t="array" ref="C1363">IF(OR(D1333=0,D1334="　"),"",IF(MID(D1334,4,1)="5","PS5-"&amp;_xlfn.SWITCH(1*MID(LEFT(D1334, LEN(D1334)-1),6,2),1,"7",2,"2",3,"3",4,"4",5,"7",6,"7",7,"7",8,"12",9,"12",10,"12",11,"12",12,"12"),"PS6-"&amp;_xlfn.SWITCH(1*MID(LEFT(D1334, LEN(D1334)-1),6,2),1,"7",2,"2",3,"3",4,"4",5,"7",6,"7",7,"7",8,"12",9,"12",10,"12",11,"12",12,"12",13,"14",14,"14"))&amp;"、高密度ポリエチレン")</f>
        <v>PS5-4、高密度ポリエチレン</v>
      </c>
      <c r="D1363" s="208"/>
      <c r="E1363" s="209"/>
      <c r="F1363" s="217" t="str">
        <f>"n=2"</f>
        <v>n=2</v>
      </c>
      <c r="G1363" s="218"/>
      <c r="H1363" s="219"/>
      <c r="I1363" s="213" t="s">
        <v>13</v>
      </c>
      <c r="J1363" s="220" t="str">
        <f>IF(OR(D1333=0,D1334="　"),"",MID(F1363,3,2))</f>
        <v>2</v>
      </c>
      <c r="K1363" s="214">
        <f>IFERROR(D1333*J1363,"")</f>
        <v>20</v>
      </c>
    </row>
    <row r="1364" spans="2:11" ht="12" customHeight="1">
      <c r="B1364" s="206" t="s">
        <v>2</v>
      </c>
      <c r="C1364" s="207" t="str" cm="1">
        <f t="array" ref="C1364">IF(OR(D1333=0,D1334="　"),"",IF(MID(D1334,4,1)="5","S5-"&amp;_xlfn.IFS(1*MID(LEFT(D1334, LEN(D1334)-1),6,2)&lt;6,"5",1*MID(LEFT(D1334, LEN(D1334)-1),6,2)&lt;9,"8",1*MID(LEFT(D1334, LEN(D1334)-1),6,2)&gt;8,"12"),"S6-"&amp;_xlfn.IFS(1*MID(LEFT(D1334, LEN(D1334)-1),6,2)&lt;4,"3",1*MID(LEFT(D1334, LEN(D1334)-1),6,2)&lt;7,"6",1*MID(LEFT(D1334, LEN(D1334)-1),6,2)&lt;10,"9",1*MID(LEFT(D1334, LEN(D1334)-1),6,2)&lt;13,"12",1*MID(LEFT(D1334, LEN(D1334)-1),6,2)&gt;12,"14"))&amp;"、ポリプロピレン")</f>
        <v>S5-5、ポリプロピレン</v>
      </c>
      <c r="D1364" s="208"/>
      <c r="E1364" s="209"/>
      <c r="F1364" s="222" t="s">
        <v>155</v>
      </c>
      <c r="G1364" s="211"/>
      <c r="H1364" s="212"/>
      <c r="I1364" s="213" t="s">
        <v>13</v>
      </c>
      <c r="J1364" s="206">
        <f>IF(OR(D1333=0,D1334="　"),"",MROUND((D1342-0.4)/1,1))</f>
        <v>4</v>
      </c>
      <c r="K1364" s="214">
        <f>IFERROR(D1333*J1364,"")</f>
        <v>40</v>
      </c>
    </row>
    <row r="1365" spans="2:11" ht="12" customHeight="1">
      <c r="B1365" s="206" t="s">
        <v>1</v>
      </c>
      <c r="C1365" s="207" t="str" cm="1">
        <f t="array" ref="C1365">IF(OR(D1333=0,D1334="　"),"",IF(MID(D1334,4,1)="5","PC5-"&amp;_xlfn.IFS(1*MID(LEFT(D1334, LEN(D1334)-1),6,2)&lt;5,"4",1*MID(LEFT(D1334, LEN(D1334)-1),6,2)&lt;8,"7",1*MID(LEFT(D1334, LEN(D1334)-1),6,2)&lt;10,"9",1*MID(LEFT(D1334, LEN(D1334)-1),6,2)&gt;9,"12"),"PC6-"&amp;_xlfn.IFS(1*MID(LEFT(D1334, LEN(D1334)-1),6,2)&lt;4,"3",1*MID(LEFT(D1334, LEN(D1334)-1),6,2)&lt;8,"7",1*MID(LEFT(D1334, LEN(D1334)-1),6,2)&lt;13,"12",1*MID(LEFT(D1334, LEN(D1334)-1),6,2)&gt;12,"14"))&amp;"、ポリプロピレン")</f>
        <v>PC5-4、ポリプロピレン</v>
      </c>
      <c r="D1365" s="208"/>
      <c r="E1365" s="209"/>
      <c r="F1365" s="217" t="str">
        <f>"n=1"</f>
        <v>n=1</v>
      </c>
      <c r="G1365" s="218"/>
      <c r="H1365" s="219"/>
      <c r="I1365" s="213" t="s">
        <v>13</v>
      </c>
      <c r="J1365" s="220" t="str">
        <f>IF(OR(D1333=0,D1334="　"),"",MID(F1365,3,2))</f>
        <v>1</v>
      </c>
      <c r="K1365" s="214">
        <f>IFERROR(D1333*J1365,"")</f>
        <v>10</v>
      </c>
    </row>
    <row r="1366" spans="2:11" ht="12" customHeight="1">
      <c r="B1366" s="206" t="s">
        <v>3</v>
      </c>
      <c r="C1366" s="207" t="str">
        <f>IF(OR(D1333=0,D1334="　"),"","66ナイロン")</f>
        <v>66ナイロン</v>
      </c>
      <c r="D1366" s="208"/>
      <c r="E1366" s="209"/>
      <c r="F1366" s="222" t="s">
        <v>156</v>
      </c>
      <c r="G1366" s="211"/>
      <c r="H1366" s="212"/>
      <c r="I1366" s="213" t="s">
        <v>14</v>
      </c>
      <c r="J1366" s="206">
        <f>IF(OR(D1333=0,D1334="　"),"",2*J1364)</f>
        <v>8</v>
      </c>
      <c r="K1366" s="214">
        <f>IFERROR(D1333*J1366,"")</f>
        <v>80</v>
      </c>
    </row>
    <row r="1367" spans="2:11" ht="12" customHeight="1">
      <c r="B1367" s="206" t="s">
        <v>4</v>
      </c>
      <c r="C1367" s="207" t="str">
        <f>IF(OR(D1333=0,D1334="　"),"","フィラメントテープ")</f>
        <v>フィラメントテープ</v>
      </c>
      <c r="D1367" s="208"/>
      <c r="E1367" s="209"/>
      <c r="F1367" s="222" t="str">
        <f>IF(OR(D1333=0,D1334="　"),"","L=((自由長+緊張部長)÷@1.0m)×テープ係数"&amp;IF(MID(D1334,4,1)="5",_xlfn.IFS(1*MID(LEFT(D1334, LEN(D1334)-1),6,2)&lt;4,"0.8",1*MID(LEFT(D1334, LEN(D1334)-1),6,2)&lt;7,"1.0",1*MID(LEFT(D1334, LEN(D1334)-1),6,2)&lt;10,"1.2",1*MID(LEFT(D1334, LEN(D1334)-1),6,2)&lt;13,"1.4"),_xlfn.IFS(1*MID(LEFT(D1334, LEN(D1334)-1),6,2)&lt;4,"1.0",1*MID(LEFT(D1334, LEN(D1334)-1),6,2)&lt;7,"1.2",1*MID(LEFT(D1334, LEN(D1334)-1),6,2)&lt;10,"1.4",1*MID(LEFT(D1334, LEN(D1334)-1),6,2)&lt;15,"1.8")))</f>
        <v>L=((自由長+緊張部長)÷@1.0m)×テープ係数1.0</v>
      </c>
      <c r="G1367" s="211"/>
      <c r="H1367" s="212"/>
      <c r="I1367" s="213" t="s">
        <v>12</v>
      </c>
      <c r="J1367" s="223">
        <f>IF(OR(D1333=0,D1334="　"),"",MROUND((SUM(D1343,D1344))/1*RIGHT(F1367, 3),0.1))</f>
        <v>5.5</v>
      </c>
      <c r="K1367" s="214">
        <f>IFERROR(D1333*J1367,"")</f>
        <v>55</v>
      </c>
    </row>
    <row r="1368" spans="2:11" ht="12" customHeight="1">
      <c r="B1368" s="206" t="s">
        <v>0</v>
      </c>
      <c r="C1368" s="207" t="str">
        <f>IF(OR(D1333=0,D1334="　"),"","16/20、高密度ポリエチレン")</f>
        <v>16/20、高密度ポリエチレン</v>
      </c>
      <c r="D1368" s="208"/>
      <c r="E1368" s="209"/>
      <c r="F1368" s="210" t="s">
        <v>33</v>
      </c>
      <c r="G1368" s="211"/>
      <c r="H1368" s="212"/>
      <c r="I1368" s="213" t="s">
        <v>12</v>
      </c>
      <c r="J1368" s="214">
        <f>IF(OR(D1333=0,D1334="　"),"",MROUND(D1346,0.1))</f>
        <v>9.7000000000000011</v>
      </c>
      <c r="K1368" s="214">
        <f>IFERROR(D1333*J1368,"")</f>
        <v>97.000000000000014</v>
      </c>
    </row>
    <row r="1369" spans="2:11" ht="12" customHeight="1">
      <c r="B1369" s="206" t="str" cm="1">
        <f t="array" ref="B1369">_xlfn.IFS(OR(D1333=0,D1334="　",MID(D1337,1,2)="なし",MID(D1337,1,3)="受圧体"),"",MID(D1337,1,3)="のり面","のり面角度台座",MID(D1337,1,3)="構造物","構造物壁面台座",MID(D1337,1,3)="土留め","土留め台座")</f>
        <v>のり面角度台座</v>
      </c>
      <c r="C1369" s="210" t="str" cm="1">
        <f t="array" ref="C1369">IF(OR(D1333=0,D1334="　",MID(D1337,1,2)="なし",MID(D1337,1,3)="受圧体"),"",_xlfn.IFS(MID(D1337,1,3)="のり面",IF(1*MID(D1334,4,1)=5,_xlfn.IFS(1*MID(LEFT(D1334, LEN(D1334)-1),6,2)&lt;5,"ST140",1*MID(LEFT(D1334, LEN(D1334)-1),6,2)&lt;8,"ST170",1*MID(LEFT(D1334, LEN(D1334)-1),6,2)&lt;13,"ST220"),_xlfn.IFS(1*MID(LEFT(D1334, LEN(D1334)-1),6,2)&lt;4,"ST140",1*MID(LEFT(D1334, LEN(D1334)-1),6,2)&lt;5,"ST170",1*MID(LEFT(D1334, LEN(D1334)-1),6,2)&lt;8,"ST220",1*MID(LEFT(D1334, LEN(D1334)-1),6,2)&lt;15,"非該当"))&amp;"、FCD450相当、防食："&amp;_xlfn.IFS(MID(D1335,1,3)="防食Ⅱ","HDZT77めっき",MID(D1335,5,2)="塩害","ｱﾙﾐﾅｲｽﾞ処理",MID(D1335,5,2)="酸性","重防食処理"),OR(MID(D1337,1,3)="構造物",MID(D1337,1,3)="土留め"),D1334&amp;"用"&amp;IF(OR(MID(D1337,1,3)="構造物",D1338="　"),"",D1338)&amp;"、防食："&amp;_xlfn.IFS(MID(D1335,1,3)="防食Ⅱ","HDZT77めっき",MID(D1335,5,2)="塩害","ｱﾙﾐﾅｲｽﾞ処理",MID(D1335,5,2)="酸性","重防食処理")))</f>
        <v>ST140、FCD450相当、防食：HDZT77めっき</v>
      </c>
      <c r="D1369" s="208"/>
      <c r="E1369" s="209"/>
      <c r="F1369" s="217" t="str">
        <f>IF(OR(D1337="なし",D1337="受圧体のみ"),"","n=1")</f>
        <v>n=1</v>
      </c>
      <c r="G1369" s="218"/>
      <c r="H1369" s="219"/>
      <c r="I1369" s="213" t="str">
        <f>IF(OR(D1333=0,D1334="　",B1369=""),"","台")</f>
        <v>台</v>
      </c>
      <c r="J1369" s="220" t="str">
        <f>IF(OR(D1333=0,D1334="　"),"",MID(F1369,3,2))</f>
        <v>1</v>
      </c>
      <c r="K1369" s="214">
        <f>IFERROR(D1333*J1369,"")</f>
        <v>10</v>
      </c>
    </row>
    <row r="1370" spans="2:11" ht="12" customHeight="1">
      <c r="B1370" s="206" t="str">
        <f>IF(OR(D1333=0,D1334="　",MID(D1337,1,3)&lt;&gt;"のり面"),"","補剛板")</f>
        <v>補剛板</v>
      </c>
      <c r="C1370" s="210" t="str" cm="1">
        <f t="array" ref="C1370">IF(OR(D1333=0,D1334="　",MID(D1337,1,3)&lt;&gt;"のり面"),"",IF(MID(D1334,4,1)="5","□"&amp;_xlfn.SWITCH(1*MID(LEFT(D1334, LEN(D1334)-1),6,2),1,"210φ131t12",2,"210φ131t12",3,"240φ131t12",4,"270φ131t12",5,"280φ143t12",6,"310φ143t16",7,"350φ143t19",8,"350φ180t19",9,"350φ180t19",10,"350φ180t19",11,"350φ180t22",12,"350φ180t22"),"□"&amp;_xlfn.SWITCH(1*MID(LEFT(D1334, LEN(D1334)-1),6,2),1,"210,φ131,t12",2,"240,φ131,t12",3,"270,φ131,t16",4,"300,φ143,t16",5,"350,φ180,t16",6,"350,φ180,t16",7,"350,φ180,t19",8,"400,φ──,t12",9,"400,φ──,t12",10,"400,φ──,t12",11,"400,φ──,t12",12,"400,φ──,t12",13,"400,φ──,t12",14,"400,φ──,t12"))&amp;"、SS400相当、防食："&amp;_xlfn.IFS(MID(D1335,1,3)="防食Ⅱ","HDZT77めっき",MID(D1335,5,2)="塩害","ｱﾙﾐﾅｲｽﾞ処理",MID(D1335,5,2)="酸性","重防食処理"))</f>
        <v>□270φ131t12、SS400相当、防食：HDZT77めっき</v>
      </c>
      <c r="D1370" s="208"/>
      <c r="E1370" s="209"/>
      <c r="F1370" s="217" t="str">
        <f>IF(OR(D1333=0,D1334="　",MID(D1337,1,3)&lt;&gt;"のり面"),"","n=1")</f>
        <v>n=1</v>
      </c>
      <c r="G1370" s="218"/>
      <c r="H1370" s="219"/>
      <c r="I1370" s="213" t="str">
        <f>IF(OR(D1333=0,D1334="　",B1370="",MID(D1337,1,3)&lt;&gt;"のり面"),"","枚")</f>
        <v>枚</v>
      </c>
      <c r="J1370" s="220" t="str">
        <f>IF(OR(D1333=0,D1334="　"),"",MID(F1370,3,2))</f>
        <v>1</v>
      </c>
      <c r="K1370" s="214">
        <f>IFERROR(D1333*J1370,"")</f>
        <v>10</v>
      </c>
    </row>
    <row r="1371" spans="2:11" ht="12" customHeight="1">
      <c r="B1371" s="206" t="str" cm="1">
        <f t="array" ref="B1371">_xlfn.IFS(OR(D1333=0,D1334="　"),"",MID(D1336,1,3)="アルミ","",MID(D1336,1,3)&lt;&gt;"アルミ","テンドン補修用塗料")</f>
        <v>テンドン補修用塗料</v>
      </c>
      <c r="C1371" s="210" t="str" cm="1">
        <f t="array" ref="C1371">_xlfn.IFS(OR(D1333=0,D1334="　"),"",MID(D1336,1,3)="アルミ","",MID(D1336,1,3)&lt;&gt;"アルミ","エポキシ樹脂")</f>
        <v>エポキシ樹脂</v>
      </c>
      <c r="D1371" s="208"/>
      <c r="E1371" s="209"/>
      <c r="F1371" s="217" t="str" cm="1">
        <f t="array" ref="F1371">_xlfn.IFS(OR(D1333=0,D1334="　"),"",MID(D1336,1,3)="アルミ","",MID(D1336,1,3)&lt;&gt;"アルミ","W=PC鋼より線本数×"&amp;IF(MID(D1334,4,1)="5","0.28","0.40"))</f>
        <v>W=PC鋼より線本数×0.28</v>
      </c>
      <c r="G1371" s="218"/>
      <c r="H1371" s="219"/>
      <c r="I1371" s="213" t="str" cm="1">
        <f t="array" ref="I1371">_xlfn.IFS(OR(D1333=0,D1334="　"),"",MID(D1336,1,3)="アルミ","",MID(D1336,1,3)&lt;&gt;"アルミ","g")</f>
        <v>g</v>
      </c>
      <c r="J1371" s="224" cm="1">
        <f t="array" ref="J1371">_xlfn.IFS(OR(D1333=0,D1334="　"),"",MID(D1336,1,3)="アルミ","",MID(D1336,1,3)&lt;&gt;"アルミ",MID(LEFT(D1334, LEN(D1334)-1),6,2)*IF(MID(D1334,4,1)="5",0.28,0.4))</f>
        <v>1.1200000000000001</v>
      </c>
      <c r="K1371" s="214">
        <f>IFERROR(D1333*J1371,"")</f>
        <v>11.200000000000001</v>
      </c>
    </row>
    <row r="1372" spans="2:11" ht="12" customHeight="1">
      <c r="B1372" s="206" t="str" cm="1">
        <f t="array" ref="B1372">_xlfn.IFS(OR(D1333=0,D1334="　"),"",MID(D1336,1,3)="アルミ","",MID(D1336,1,3)&lt;&gt;"アルミ","長期防錆スプレー")</f>
        <v>長期防錆スプレー</v>
      </c>
      <c r="C1372" s="210" t="str" cm="1">
        <f t="array" ref="C1372">_xlfn.IFS(OR(D1333=0,D1334="　"),"",MID(D1336,1,3)="アルミ","",MID(D1336,1,3)&lt;&gt;"アルミ","防錆オイル")</f>
        <v>防錆オイル</v>
      </c>
      <c r="D1372" s="208"/>
      <c r="E1372" s="209"/>
      <c r="F1372" s="217" t="str" cm="1">
        <f t="array" ref="F1372">_xlfn.IFS(OR(D1333=0,D1334="　"),"",MID(D1336,1,3)="アルミ","",MID(D1336,1,3)&lt;&gt;"アルミ","n=0.01×(PC鋼より線本数+"&amp;IF(MID(D1334,4,1)="5","6","12")&amp;")")</f>
        <v>n=0.01×(PC鋼より線本数+6)</v>
      </c>
      <c r="G1372" s="218"/>
      <c r="H1372" s="219"/>
      <c r="I1372" s="213" t="str" cm="1">
        <f t="array" ref="I1372">_xlfn.IFS(OR(D1333=0,D1334="　"),"",MID(D1336,1,3)="アルミ","",MID(D1336,1,3)&lt;&gt;"アルミ","缶")</f>
        <v>缶</v>
      </c>
      <c r="J1372" s="224" cm="1">
        <f t="array" ref="J1372">_xlfn.IFS(OR(D1333=0,D1334="　"),"",MID(D1336,1,3)="アルミ","",MID(D1336,1,3)&lt;&gt;"アルミ",0.01*(MID(LEFT(D1334, LEN(D1334)-1),6,2)+IF(MID(D1334,4,1)="5",6,12)))</f>
        <v>0.1</v>
      </c>
      <c r="K1372" s="214">
        <f>IFERROR(D1333*J1372,"")</f>
        <v>1</v>
      </c>
    </row>
    <row r="1373" spans="2:11" ht="12" customHeight="1">
      <c r="B1373" s="206" t="str">
        <f>IF(OR(D1333=0,D1334="　",D1339="なし"),"","フリーパッカー注入ホース")</f>
        <v/>
      </c>
      <c r="C1373" s="207" t="str">
        <f>IF(OR(D1333=0,D1334="　",B1373=""),"","16/20、高密度ポリエチレン")</f>
        <v/>
      </c>
      <c r="D1373" s="208"/>
      <c r="E1373" s="209"/>
      <c r="F1373" s="210" t="str">
        <f>IF(B1373="","","L=自由長+緊張部長")</f>
        <v/>
      </c>
      <c r="G1373" s="211"/>
      <c r="H1373" s="212"/>
      <c r="I1373" s="213" t="str">
        <f>IF(OR(D1333=0,D1334="　",B1373=""),"","m")</f>
        <v/>
      </c>
      <c r="J1373" s="214" t="str">
        <f>IF(OR(D1333=0,D1334="　"),"",IF(B1373="","",MROUND(D1343+D1344,0.1)))</f>
        <v/>
      </c>
      <c r="K1373" s="214" t="str">
        <f>IFERROR(D1333*J1373,"")</f>
        <v/>
      </c>
    </row>
    <row r="1374" spans="2:11" ht="12" customHeight="1">
      <c r="B1374" s="225" t="str">
        <f>IF(OR(D1333=0,D1334="　",D1339="なし"),"","フリーパッカー")</f>
        <v/>
      </c>
      <c r="C1374" s="217" t="str" cm="1">
        <f t="array" ref="C1374">IF(OR(D1333=0,D1334="　",B1373=""),"",_xlfn.SWITCH(D1348,90,"PA-170",115,"PA-200",135,"PA-240",146,"PA-240",165,"PA-350")&amp;"、織布")</f>
        <v/>
      </c>
      <c r="D1374" s="208"/>
      <c r="E1374" s="209"/>
      <c r="F1374" s="226" t="str">
        <f>IF(B1374="","","L=自由長+0.5m")</f>
        <v/>
      </c>
      <c r="G1374" s="227"/>
      <c r="H1374" s="228"/>
      <c r="I1374" s="213" t="str">
        <f>IF(OR(D1334=0,D1335="　",B1374=""),"","m")</f>
        <v/>
      </c>
      <c r="J1374" s="214" t="str">
        <f>IF(OR(D1333=0,D1334="　"),"",IF(B1374="","",MROUND(D1343+0.5,0.1)))</f>
        <v/>
      </c>
      <c r="K1374" s="214" t="str">
        <f>IFERROR(D1333*J1374,"")</f>
        <v/>
      </c>
    </row>
    <row r="1375" spans="2:11" ht="12" customHeight="1">
      <c r="B1375" s="206" t="str">
        <f>IF(OR(D1333=0,D1334="　",D1339="なし"),"","パッカー取付加工")</f>
        <v/>
      </c>
      <c r="C1375" s="207"/>
      <c r="D1375" s="208"/>
      <c r="E1375" s="209"/>
      <c r="F1375" s="217" t="str">
        <f>IF(B1375="","","n=1")</f>
        <v/>
      </c>
      <c r="G1375" s="218"/>
      <c r="H1375" s="219"/>
      <c r="I1375" s="213" t="str">
        <f>IF(OR(D1335=0,D1336="　",B1375=""),"","式")</f>
        <v/>
      </c>
      <c r="J1375" s="220" t="str">
        <f>IF(OR(D1333=0,D1334="　"),"",MID(F1375,3,2))</f>
        <v/>
      </c>
      <c r="K1375" s="206" t="str">
        <f>IFERROR(D1333*J1375,"")</f>
        <v/>
      </c>
    </row>
    <row r="1376" spans="2:11" ht="12" customHeight="1">
      <c r="B1376" s="229"/>
      <c r="C1376" s="230"/>
      <c r="D1376" s="231"/>
      <c r="E1376" s="232"/>
      <c r="F1376" s="233"/>
      <c r="G1376" s="234"/>
      <c r="H1376" s="235"/>
      <c r="I1376" s="236"/>
      <c r="J1376" s="237"/>
      <c r="K1376" s="229"/>
    </row>
    <row r="1377" spans="2:11" ht="12" customHeight="1">
      <c r="B1377" s="238" t="s">
        <v>30</v>
      </c>
      <c r="C1377" s="239" t="s">
        <v>31</v>
      </c>
      <c r="D1377" s="240"/>
      <c r="E1377" s="241"/>
      <c r="F1377" s="242" t="s">
        <v>157</v>
      </c>
      <c r="G1377" s="243"/>
      <c r="H1377" s="244"/>
      <c r="I1377" s="245" t="s">
        <v>55</v>
      </c>
      <c r="J1377" s="246">
        <f>IFERROR(MROUND(0.25*PI()*(0.001*D1348)^2*(D1341+D1342+D1347)*(1+2.2),0.01),"")</f>
        <v>0.17</v>
      </c>
      <c r="K1377" s="246">
        <f>IFERROR(D1333*J1377,"")</f>
        <v>1.7000000000000002</v>
      </c>
    </row>
    <row r="1379" spans="2:11" ht="12" customHeight="1">
      <c r="B1379" s="247" t="s">
        <v>136</v>
      </c>
      <c r="C1379" s="247"/>
      <c r="D1379" s="247"/>
      <c r="F1379" s="163"/>
      <c r="G1379" s="164"/>
      <c r="H1379" s="164"/>
    </row>
    <row r="1380" spans="2:11" ht="12" customHeight="1">
      <c r="B1380" s="15" t="s">
        <v>111</v>
      </c>
      <c r="C1380" s="15"/>
      <c r="D1380" s="1"/>
      <c r="E1380" s="1"/>
      <c r="H1380" s="119"/>
      <c r="J1380" s="118"/>
    </row>
    <row r="1381" spans="2:11" ht="12" customHeight="1">
      <c r="B1381" s="165" t="s">
        <v>166</v>
      </c>
      <c r="C1381" s="3"/>
      <c r="D1381" s="1"/>
      <c r="E1381" s="1"/>
      <c r="F1381" s="8"/>
      <c r="G1381" s="8"/>
      <c r="H1381" s="102"/>
      <c r="I1381" s="28"/>
      <c r="J1381" s="118"/>
    </row>
    <row r="1382" spans="2:11" ht="12" customHeight="1">
      <c r="B1382" s="15" t="s">
        <v>40</v>
      </c>
      <c r="C1382" s="3"/>
      <c r="D1382" s="1"/>
      <c r="E1382" s="1"/>
      <c r="F1382" s="15" t="s">
        <v>54</v>
      </c>
      <c r="G1382" s="15"/>
      <c r="H1382" s="102"/>
      <c r="I1382" s="28"/>
    </row>
    <row r="1383" spans="2:11" ht="12" customHeight="1">
      <c r="B1383" s="2" t="s">
        <v>53</v>
      </c>
      <c r="C1383" s="2" t="s">
        <v>21</v>
      </c>
      <c r="D1383" s="2" t="s">
        <v>22</v>
      </c>
      <c r="E1383" s="17"/>
      <c r="F1383" s="49" t="s">
        <v>41</v>
      </c>
      <c r="G1383" s="97" t="s">
        <v>59</v>
      </c>
      <c r="H1383" s="49" t="s">
        <v>44</v>
      </c>
      <c r="I1383" s="2" t="s">
        <v>21</v>
      </c>
      <c r="J1383" s="49" t="s">
        <v>138</v>
      </c>
      <c r="K1383" s="2" t="s">
        <v>28</v>
      </c>
    </row>
    <row r="1384" spans="2:11" ht="12" customHeight="1">
      <c r="B1384" s="166" t="s">
        <v>25</v>
      </c>
      <c r="C1384" s="18" t="s">
        <v>24</v>
      </c>
      <c r="D1384" s="167">
        <v>10</v>
      </c>
      <c r="E1384" s="19"/>
      <c r="F1384" s="168" t="s">
        <v>43</v>
      </c>
      <c r="G1384" s="169" t="s">
        <v>113</v>
      </c>
      <c r="H1384" s="88" t="str" cm="1">
        <f t="array" ref="H1384">_xlfn.IFS(AND(F1384&lt;&gt;"非削孔",F1384&lt;&gt;"無設定"),D1399,F1384="非削孔",IF(MID(D1388,1,3)="土留め","非削孔","箱抜き"),F1384="無設定","無設定")</f>
        <v>箱抜き</v>
      </c>
      <c r="I1384" s="23" t="str">
        <f>IF(F1384="無設定","","m")</f>
        <v>m</v>
      </c>
      <c r="J1384" s="170">
        <v>0.5</v>
      </c>
      <c r="K1384" s="30">
        <f>D1384*J1384</f>
        <v>5</v>
      </c>
    </row>
    <row r="1385" spans="2:11" ht="12" customHeight="1">
      <c r="B1385" s="171" t="s">
        <v>37</v>
      </c>
      <c r="C1385" s="50" t="s">
        <v>38</v>
      </c>
      <c r="D1385" s="172" t="s">
        <v>159</v>
      </c>
      <c r="E1385" s="173"/>
      <c r="F1385" s="174" t="s">
        <v>49</v>
      </c>
      <c r="G1385" s="169" t="s">
        <v>114</v>
      </c>
      <c r="H1385" s="88" cm="1">
        <f t="array" ref="H1385">_xlfn.IFS(AND(F1385&lt;&gt;"非削孔",F1385&lt;&gt;"無設定"),D1399,F1385="非削孔","箱抜き",F1385="無設定","無設定")</f>
        <v>90</v>
      </c>
      <c r="I1385" s="23" t="str">
        <f t="shared" ref="I1385:I1393" si="54">IF(F1385="無設定","","m")</f>
        <v>m</v>
      </c>
      <c r="J1385" s="170">
        <v>2.64</v>
      </c>
      <c r="K1385" s="30">
        <f>D1384*J1385</f>
        <v>26.400000000000002</v>
      </c>
    </row>
    <row r="1386" spans="2:11" ht="12" customHeight="1">
      <c r="B1386" s="52" t="s">
        <v>39</v>
      </c>
      <c r="C1386" s="91" t="s">
        <v>38</v>
      </c>
      <c r="D1386" s="175" t="s">
        <v>60</v>
      </c>
      <c r="E1386" s="140"/>
      <c r="F1386" s="174" t="s">
        <v>49</v>
      </c>
      <c r="G1386" s="169" t="s">
        <v>115</v>
      </c>
      <c r="H1386" s="88" cm="1">
        <f t="array" ref="H1386">_xlfn.IFS(AND(F1386&lt;&gt;"非削孔",F1386&lt;&gt;"無設定"),D1399,F1386="非削孔","箱抜き",F1386="無設定","無設定")</f>
        <v>90</v>
      </c>
      <c r="I1386" s="23" t="str">
        <f t="shared" si="54"/>
        <v>m</v>
      </c>
      <c r="J1386" s="170">
        <v>5.36</v>
      </c>
      <c r="K1386" s="30">
        <f>D1384*J1386</f>
        <v>53.6</v>
      </c>
    </row>
    <row r="1387" spans="2:11" ht="12" customHeight="1">
      <c r="B1387" s="147" t="s">
        <v>140</v>
      </c>
      <c r="C1387" s="91" t="s">
        <v>38</v>
      </c>
      <c r="D1387" s="176" t="s">
        <v>141</v>
      </c>
      <c r="E1387" s="141"/>
      <c r="F1387" s="174" t="s">
        <v>48</v>
      </c>
      <c r="G1387" s="169"/>
      <c r="H1387" s="88" t="str" cm="1">
        <f t="array" ref="H1387">_xlfn.IFS(AND(F1387&lt;&gt;"非削孔",F1387&lt;&gt;"無設定"),D1399,F1387="非削孔","箱抜き",F1387="無設定","無設定")</f>
        <v>無設定</v>
      </c>
      <c r="I1387" s="23" t="str">
        <f t="shared" si="54"/>
        <v/>
      </c>
      <c r="J1387" s="170">
        <v>0</v>
      </c>
      <c r="K1387" s="30">
        <f>D1384*J1387</f>
        <v>0</v>
      </c>
    </row>
    <row r="1388" spans="2:11" ht="12" customHeight="1">
      <c r="B1388" s="147" t="s">
        <v>142</v>
      </c>
      <c r="C1388" s="91" t="s">
        <v>38</v>
      </c>
      <c r="D1388" s="177" t="s">
        <v>160</v>
      </c>
      <c r="E1388" s="21"/>
      <c r="F1388" s="174" t="s">
        <v>48</v>
      </c>
      <c r="G1388" s="169"/>
      <c r="H1388" s="88" t="str" cm="1">
        <f t="array" ref="H1388">_xlfn.IFS(AND(F1388&lt;&gt;"非削孔",F1388&lt;&gt;"無設定"),D1399,F1388="非削孔","箱抜き",F1388="無設定","無設定")</f>
        <v>無設定</v>
      </c>
      <c r="I1388" s="23" t="str">
        <f t="shared" si="54"/>
        <v/>
      </c>
      <c r="J1388" s="170">
        <v>0</v>
      </c>
      <c r="K1388" s="30">
        <f>D1384*J1388</f>
        <v>0</v>
      </c>
    </row>
    <row r="1389" spans="2:11" ht="12" customHeight="1">
      <c r="B1389" s="114" t="str">
        <f>IF(MID(D1388,1,3)="土留め",D1388&amp;"の種類","")</f>
        <v/>
      </c>
      <c r="C1389" s="91" t="s">
        <v>38</v>
      </c>
      <c r="D1389" s="178" t="s">
        <v>71</v>
      </c>
      <c r="E1389" s="21"/>
      <c r="F1389" s="174" t="s">
        <v>48</v>
      </c>
      <c r="G1389" s="169"/>
      <c r="H1389" s="88" t="str" cm="1">
        <f t="array" ref="H1389">_xlfn.IFS(AND(F1389&lt;&gt;"非削孔",F1389&lt;&gt;"無設定"),D1399,F1389="非削孔","箱抜き",F1389="無設定","無設定")</f>
        <v>無設定</v>
      </c>
      <c r="I1389" s="23" t="str">
        <f t="shared" si="54"/>
        <v/>
      </c>
      <c r="J1389" s="170">
        <v>0</v>
      </c>
      <c r="K1389" s="30">
        <f>D1384*J1389</f>
        <v>0</v>
      </c>
    </row>
    <row r="1390" spans="2:11" ht="12" customHeight="1">
      <c r="B1390" s="179" t="s">
        <v>50</v>
      </c>
      <c r="C1390" s="180" t="s">
        <v>38</v>
      </c>
      <c r="D1390" s="181" t="s">
        <v>51</v>
      </c>
      <c r="E1390" s="182"/>
      <c r="F1390" s="174" t="s">
        <v>48</v>
      </c>
      <c r="G1390" s="169"/>
      <c r="H1390" s="88" t="str" cm="1">
        <f t="array" ref="H1390">_xlfn.IFS(AND(F1390&lt;&gt;"非削孔",F1390&lt;&gt;"無設定"),D1399,F1390="非削孔","箱抜き",F1390="無設定","無設定")</f>
        <v>無設定</v>
      </c>
      <c r="I1390" s="23" t="str">
        <f t="shared" si="54"/>
        <v/>
      </c>
      <c r="J1390" s="170">
        <v>0</v>
      </c>
      <c r="K1390" s="30">
        <f>D1384*J1390</f>
        <v>0</v>
      </c>
    </row>
    <row r="1391" spans="2:11" ht="12" customHeight="1">
      <c r="B1391" s="160" t="str" cm="1">
        <f t="array" ref="B1391">"頭部自由長"&amp;_xlfn.IFS(MID(D1388,1,2)="なし","",MID(D1388,1,3)="受圧体","(受圧体)",MID(D1388,1,3)="のり面","(角度台座＋受圧体)",MID(D1388,1,3)="構造物","(壁面台座)",MID(D1388,1,3)="土留め","(台座+腹起し)")&amp;"　Lfh"</f>
        <v>頭部自由長(角度台座＋受圧体)　Lfh</v>
      </c>
      <c r="C1391" s="155" t="s">
        <v>23</v>
      </c>
      <c r="D1391" s="183">
        <v>0.5</v>
      </c>
      <c r="E1391" s="21"/>
      <c r="F1391" s="174" t="s">
        <v>144</v>
      </c>
      <c r="G1391" s="169"/>
      <c r="H1391" s="88" cm="1">
        <f t="array" ref="H1391">_xlfn.IFS(AND(F1391&lt;&gt;"非削孔",F1391&lt;&gt;"無設定"),D1399,F1391="非削孔","箱抜き",F1391="無設定","無設定")</f>
        <v>90</v>
      </c>
      <c r="I1391" s="23" t="str">
        <f t="shared" si="54"/>
        <v>m</v>
      </c>
      <c r="J1391" s="170">
        <v>0</v>
      </c>
      <c r="K1391" s="30">
        <f>D1384*J1391</f>
        <v>0</v>
      </c>
    </row>
    <row r="1392" spans="2:11" ht="12" customHeight="1">
      <c r="B1392" s="22" t="s">
        <v>108</v>
      </c>
      <c r="C1392" s="23" t="s">
        <v>23</v>
      </c>
      <c r="D1392" s="184">
        <v>4</v>
      </c>
      <c r="E1392" s="21"/>
      <c r="F1392" s="174" t="s">
        <v>48</v>
      </c>
      <c r="G1392" s="169"/>
      <c r="H1392" s="88" t="str" cm="1">
        <f t="array" ref="H1392">_xlfn.IFS(AND(F1392&lt;&gt;"非削孔",F1392&lt;&gt;"無設定"),D1399,F1392="非削孔","箱抜き",F1392="無設定","無設定")</f>
        <v>無設定</v>
      </c>
      <c r="I1392" s="23" t="str">
        <f t="shared" si="54"/>
        <v/>
      </c>
      <c r="J1392" s="170">
        <v>0</v>
      </c>
      <c r="K1392" s="30">
        <f>D1384*J1392</f>
        <v>0</v>
      </c>
    </row>
    <row r="1393" spans="2:11" ht="12" customHeight="1">
      <c r="B1393" s="157" t="s">
        <v>36</v>
      </c>
      <c r="C1393" s="158" t="s">
        <v>23</v>
      </c>
      <c r="D1393" s="185">
        <v>4</v>
      </c>
      <c r="F1393" s="186" t="str" cm="1">
        <f t="array" ref="F1393">INDEX(F1384:H1392,MATCH("無設定",F1384:F1392,0)-1,MATCH(F1383,F1383:H1383,0))</f>
        <v>軟　岩</v>
      </c>
      <c r="G1393" s="100" t="str" cm="1">
        <f t="array" ref="G1393">INDEX(F1384:H1392,MATCH("無設定",F1384:F1392,0)-1,MATCH(G1383,F1383:H1383,0))&amp;"　(先端長 L2d)"</f>
        <v>風化岩 CL　(先端長 L2d)</v>
      </c>
      <c r="H1393" s="88" cm="1">
        <f t="array" ref="H1393">INDEX(F1384:H1392,MATCH("無設定",F1384:F1392,0)-1,MATCH(H1383,F1383:H1383,0))</f>
        <v>90</v>
      </c>
      <c r="I1393" s="23" t="str">
        <f t="shared" si="54"/>
        <v>m</v>
      </c>
      <c r="J1393" s="98">
        <f>D1398</f>
        <v>0.25</v>
      </c>
      <c r="K1393" s="78">
        <f>IFERROR(D1384*J1393,"")</f>
        <v>2.5</v>
      </c>
    </row>
    <row r="1394" spans="2:11" ht="12" customHeight="1">
      <c r="B1394" s="154" t="s">
        <v>145</v>
      </c>
      <c r="C1394" s="155" t="s">
        <v>23</v>
      </c>
      <c r="D1394" s="187">
        <f>IF(OR(D1384=0,D1385="　"),"──",SUM(D1391:D1392))</f>
        <v>4.5</v>
      </c>
      <c r="E1394" s="19"/>
      <c r="F1394" s="188"/>
      <c r="G1394" s="75" t="s">
        <v>124</v>
      </c>
      <c r="H1394" s="103"/>
      <c r="I1394" s="18" t="s">
        <v>23</v>
      </c>
      <c r="J1394" s="74">
        <f>SUMIFS(J1384:J1393,F1384:F1393,"&lt;&gt;非削孔",F1384:F1393,"&lt;&gt;無設定")</f>
        <v>8.25</v>
      </c>
      <c r="K1394" s="95">
        <f>SUMIFS(K1384:K1393,F1384:F1393,"&lt;&gt;非削孔",F1384:F1393,"&lt;&gt;無設定")</f>
        <v>82.5</v>
      </c>
    </row>
    <row r="1395" spans="2:11" ht="12" customHeight="1">
      <c r="B1395" s="146" t="s">
        <v>146</v>
      </c>
      <c r="C1395" s="23" t="s">
        <v>23</v>
      </c>
      <c r="D1395" s="189" cm="1">
        <f t="array" ref="D1395">IF(OR(D1384=0,D1385="　"),"──",IF(MID(D1385,4,1)="5",_xlfn.IFS(1*MID(LEFT(D1385, LEN(D1385)-1),6,2)&lt;8,1,1*MID(LEFT(D1385, LEN(D1385)-1),6,2)&lt;13,1.2),_xlfn.IFS(1*MID(LEFT(D1385, LEN(D1385)-1),6,2)&lt;6,1,1*MID(LEFT(D1385, LEN(D1385)-1),6,2)&lt;15,1.2)))</f>
        <v>1</v>
      </c>
      <c r="E1395" s="19"/>
      <c r="F1395" s="190"/>
      <c r="G1395" s="76" t="s">
        <v>47</v>
      </c>
      <c r="H1395" s="104"/>
      <c r="I1395" s="79" t="s">
        <v>46</v>
      </c>
      <c r="J1395" s="77" t="str">
        <f>IF(OR(D1384=0,D1385="　"),"",IF(SUM(D1392:D1393,D1398)=J1394,"OK","NG"))</f>
        <v>OK</v>
      </c>
      <c r="K1395" s="145" t="str">
        <f>IF(J1395&lt;&gt;"NG","──",J1394-SUM(D1392:D1393,D1398))</f>
        <v>──</v>
      </c>
    </row>
    <row r="1396" spans="2:11" ht="12" customHeight="1">
      <c r="B1396" s="22" t="s">
        <v>125</v>
      </c>
      <c r="C1396" s="23" t="s">
        <v>35</v>
      </c>
      <c r="D1396" s="84">
        <f>IF(OR(D1384=0,D1385="　"),"──",0.2)</f>
        <v>0.2</v>
      </c>
      <c r="F1396" s="191" t="s">
        <v>58</v>
      </c>
      <c r="G1396" s="248" t="s">
        <v>110</v>
      </c>
      <c r="H1396" s="249"/>
      <c r="I1396" s="249"/>
      <c r="J1396" s="249"/>
      <c r="K1396" s="250"/>
    </row>
    <row r="1397" spans="2:11" ht="12" customHeight="1">
      <c r="B1397" s="6" t="s">
        <v>147</v>
      </c>
      <c r="C1397" s="23" t="s">
        <v>23</v>
      </c>
      <c r="D1397" s="60">
        <f>IF(OR(D1384=0,D1385="　"),"──",SUM(D1393:D1396))</f>
        <v>9.6999999999999993</v>
      </c>
    </row>
    <row r="1398" spans="2:11" ht="12" customHeight="1">
      <c r="B1398" s="25" t="s">
        <v>127</v>
      </c>
      <c r="C1398" s="26" t="s">
        <v>23</v>
      </c>
      <c r="D1398" s="27">
        <f>IF(OR(D1384=0,D1385="　"),"──",0.25)</f>
        <v>0.25</v>
      </c>
      <c r="F1398" s="8"/>
      <c r="G1398" s="8"/>
      <c r="H1398" s="102"/>
    </row>
    <row r="1399" spans="2:11" ht="12" customHeight="1">
      <c r="B1399" s="95" t="s">
        <v>123</v>
      </c>
      <c r="C1399" s="18" t="s">
        <v>32</v>
      </c>
      <c r="D1399" s="192">
        <v>90</v>
      </c>
      <c r="E1399" s="193" t="str">
        <f>IF(D1399&lt;D1400,"NG：削孔径不適合","")</f>
        <v/>
      </c>
      <c r="F1399" s="8"/>
      <c r="G1399" s="8"/>
      <c r="H1399" s="102"/>
    </row>
    <row r="1400" spans="2:11" ht="12" customHeight="1">
      <c r="B1400" s="25" t="s">
        <v>122</v>
      </c>
      <c r="C1400" s="26" t="s">
        <v>32</v>
      </c>
      <c r="D1400" s="194" cm="1">
        <f t="array" ref="D1400">IF(OR(D1384=0,D1385="　"),"──",IF(D1390="なし",IF(MID(D1385,4,1)="5",_xlfn.IFS(1*MID(LEFT(D1385, LEN(D1385)-1),6,2)&lt;6,90,1*MID(LEFT(D1385, LEN(D1385)-1),6,2)&lt;9,115,1*MID(LEFT(D1385, LEN(D1385)-1),6,2)&gt;8,135),_xlfn.IFS(1*MID(LEFT(D1385, LEN(D1385)-1),6,2)&lt;4,90,1*MID(LEFT(D1385, LEN(D1385)-1),6,2)&lt;7,115,1*MID(LEFT(D1385, LEN(D1385)-1),6,2)&lt;10,135,1*MID(LEFT(D1385, LEN(D1385)-1),6,2)&lt;13,146,1*MID(LEFT(D1385, LEN(D1385)-1),6,2)&gt;12,165)),IF(MID(D1385,4,1)="5",_xlfn.IFS(1*MID(LEFT(D1385, LEN(D1385)-1),6,2)&lt;3,90,1*MID(LEFT(D1385, LEN(D1385)-1),6,2)&lt;7,115,1*MID(LEFT(D1385, LEN(D1385)-1),6,2)&lt;9,135,1*MID(LEFT(D1385, LEN(D1385)-1),6,2)&gt;8,146),_xlfn.IFS(1*MID(LEFT(D1385, LEN(D1385)-1),6,2)&lt;3,90,1*MID(LEFT(D1385, LEN(D1385)-1),6,2)&lt;4,115,1*MID(LEFT(D1385, LEN(D1385)-1),6,2)&lt;6,135,1*MID(LEFT(D1385, LEN(D1385)-1),6,2)&lt;10,146,1*MID(LEFT(D1385, LEN(D1385)-1),6,2)&lt;13,165,1*MID(LEFT(D1385, LEN(D1385)-1),6,2)&gt;12,216))))</f>
        <v>90</v>
      </c>
      <c r="E1400" s="195"/>
      <c r="F1400" s="8"/>
      <c r="G1400" s="8"/>
      <c r="H1400" s="102"/>
    </row>
    <row r="1401" spans="2:11" ht="12" customHeight="1">
      <c r="B1401" s="20"/>
      <c r="C1401" s="46"/>
      <c r="D1401" s="117"/>
      <c r="F1401" s="8"/>
      <c r="G1401" s="8"/>
      <c r="H1401" s="102"/>
    </row>
    <row r="1402" spans="2:11" ht="12" customHeight="1">
      <c r="B1402" s="15" t="str">
        <f>"■"&amp;MID(B1379,2,14)</f>
        <v>■本設：EHDアンカーHP工法</v>
      </c>
      <c r="C1402" s="3"/>
      <c r="D1402" s="1"/>
      <c r="E1402" s="1"/>
      <c r="F1402" s="8"/>
      <c r="G1402" s="8"/>
      <c r="H1402" s="102"/>
    </row>
    <row r="1403" spans="2:11" ht="12" customHeight="1">
      <c r="B1403" s="2" t="s">
        <v>17</v>
      </c>
      <c r="C1403" s="43"/>
      <c r="D1403" s="196" t="s">
        <v>148</v>
      </c>
      <c r="E1403" s="135"/>
      <c r="F1403" s="16"/>
      <c r="G1403" s="61" t="s">
        <v>42</v>
      </c>
      <c r="H1403" s="97"/>
      <c r="I1403" s="2" t="s">
        <v>21</v>
      </c>
      <c r="J1403" s="49" t="s">
        <v>149</v>
      </c>
      <c r="K1403" s="2" t="s">
        <v>28</v>
      </c>
    </row>
    <row r="1404" spans="2:11" ht="12" customHeight="1">
      <c r="B1404" s="197" t="s">
        <v>150</v>
      </c>
      <c r="C1404" s="198" t="str">
        <f>IF(OR(D1384=0,D1385="　"),"",D1385&amp;" ("&amp;MID(LEFT(D1385, LEN(D1385)-1),6,2)&amp;IF(MID(D1385,4,1)="5","φ12.7","φ15.2")&amp;")")</f>
        <v>EHD5-4H (4φ12.7)</v>
      </c>
      <c r="D1404" s="199"/>
      <c r="E1404" s="200"/>
      <c r="F1404" s="201" t="str">
        <f>"W=テンドン長×PC鋼より線本数×"&amp;IF(MID(D1385,4,1)="5","0.774","1.101")&amp;"kg/m"</f>
        <v>W=テンドン長×PC鋼より線本数×0.774kg/m</v>
      </c>
      <c r="G1404" s="202"/>
      <c r="H1404" s="203"/>
      <c r="I1404" s="204" t="s">
        <v>11</v>
      </c>
      <c r="J1404" s="205">
        <f>IF(OR(D1384=0,D1385="　"),"",MROUND(D1397*MID(LEFT(D1385, LEN(D1385)-1),6,2)*IF(MID(D1385,4,1)="5","0.774","1.101"),0.01))</f>
        <v>30.03</v>
      </c>
      <c r="K1404" s="205">
        <f>IFERROR(D1384*J1404,"")</f>
        <v>300.3</v>
      </c>
    </row>
    <row r="1405" spans="2:11" ht="12" customHeight="1">
      <c r="B1405" s="206" t="s">
        <v>151</v>
      </c>
      <c r="C1405" s="207"/>
      <c r="D1405" s="208"/>
      <c r="E1405" s="209"/>
      <c r="F1405" s="210" t="s">
        <v>33</v>
      </c>
      <c r="G1405" s="211"/>
      <c r="H1405" s="212"/>
      <c r="I1405" s="213" t="s">
        <v>12</v>
      </c>
      <c r="J1405" s="214">
        <f>IF(OR(D1384=0,D1385="　"),"",MROUND(D1397,0.1))</f>
        <v>9.7000000000000011</v>
      </c>
      <c r="K1405" s="214">
        <f>IFERROR(D1384*J1405,"")</f>
        <v>97.000000000000014</v>
      </c>
    </row>
    <row r="1406" spans="2:11" ht="12" customHeight="1">
      <c r="B1406" s="206" t="str">
        <f>"頭部キャップ"</f>
        <v>頭部キャップ</v>
      </c>
      <c r="C1406" s="207" t="str" cm="1">
        <f t="array" ref="C1406">IF(OR(D1384=0,D1385="　"),"",IF(MID(D1385,4,1)="5",_xlfn.SWITCH(1*MID(LEFT(D1385, LEN(D1385)-1),6,2),1,"S",2,"S",3,"S",4,"S",5,"M",6,"M",7,"M",8,"L",9,"L",10,"L",11,"L",12,"L"),_xlfn.SWITCH(1*MID(LEFT(D1385, LEN(D1385)-1),6,2),1,"S",2,"S",3,"M",4,"M",5,"L",6,"L",7,"L",8,"LL",9,"LL",10,"LL",11,"LL",12,"LL",13,"LL",14,"LL"))&amp;"型"&amp;D1387&amp;IF(OR(MID(D1387,1,2)="透明",MID(D1387,1,2)="5窓"),"、PC樹脂","")&amp;"、ｱﾙﾐAC4C相当"&amp;_xlfn.IFS(MID(D1386,1,3)="防食Ⅱ","",MID(D1386,5,2)="塩害","、防食：ﾀｹｺｰﾄ処理",MID(D1386,5,2)="酸性","、防食：重防食処理"))</f>
        <v>S型透明キャップ、PC樹脂、ｱﾙﾐAC4C相当</v>
      </c>
      <c r="D1406" s="215"/>
      <c r="E1406" s="216"/>
      <c r="F1406" s="217" t="str">
        <f t="shared" ref="F1406:F1412" si="55">"n=1"</f>
        <v>n=1</v>
      </c>
      <c r="G1406" s="218"/>
      <c r="H1406" s="219"/>
      <c r="I1406" s="213" t="s">
        <v>13</v>
      </c>
      <c r="J1406" s="220" t="str">
        <f>IF(OR(D1384=0,D1385="　"),"",MID(F1406,3,2))</f>
        <v>1</v>
      </c>
      <c r="K1406" s="214">
        <f>IFERROR(D1384*J1406,"")</f>
        <v>10</v>
      </c>
    </row>
    <row r="1407" spans="2:11" ht="12" customHeight="1">
      <c r="B1407" s="206" t="s">
        <v>5</v>
      </c>
      <c r="C1407" s="207" t="str" cm="1">
        <f t="array" ref="C1407">IF(OR(D1384=0,D1385="　"),"",IF(MID(D1385,4,1)="5","G5"&amp;_xlfn.SWITCH(1*MID(LEFT(D1385, LEN(D1385)-1),6,2),1,"01",2,"02",3,"03",4,"04",5,"07",6,"07",7,"07",8,"09",9,"09",10,"12",11,"12",12,"12"),"G6"&amp;_xlfn.SWITCH(1*MID(LEFT(D1385, LEN(D1385)-1),6,2),1,"01",2,"02",3,"03",4,"04",5,"07",6,"07",7,"07",8,"09",9,"09",10,"12",11,"12",12,"12",13,"14",14,"14"))&amp;"、S45C相当"&amp;IF(MID(D1387,1,3)&lt;&gt;"アルミ","、防食：無電解Niめっき",""))</f>
        <v>G504、S45C相当、防食：無電解Niめっき</v>
      </c>
      <c r="D1407" s="208"/>
      <c r="E1407" s="209"/>
      <c r="F1407" s="217" t="str">
        <f t="shared" si="55"/>
        <v>n=1</v>
      </c>
      <c r="G1407" s="218"/>
      <c r="H1407" s="219"/>
      <c r="I1407" s="213" t="s">
        <v>13</v>
      </c>
      <c r="J1407" s="220" t="str">
        <f>IF(OR(D1384=0,D1385="　"),"",MID(F1407,3,2))</f>
        <v>1</v>
      </c>
      <c r="K1407" s="214">
        <f>IFERROR(D1384*J1407,"")</f>
        <v>10</v>
      </c>
    </row>
    <row r="1408" spans="2:11" ht="12" customHeight="1">
      <c r="B1408" s="206" t="s">
        <v>152</v>
      </c>
      <c r="C1408" s="207" t="str" cm="1">
        <f t="array" ref="C1408">IF(OR(D1384=0,D1385="　"),"",IF(MID(D1385,4,1)="5","G5"&amp;_xlfn.SWITCH(1*MID(LEFT(D1385, LEN(D1385)-1),6,2),1,"01",2,"02",3,"03",4,"04",5,"07",6,"07",7,"07",8,"09",9,"09",10,"12",11,"12",12,"12"),"G6"&amp;_xlfn.SWITCH(1*MID(LEFT(D1385, LEN(D1385)-1),6,2),1,"01",2,"02",3,"03",4,"04",5,"07",6,"07",7,"07",8,"09",9,"09",10,"12",11,"12",12,"12",13,"14",14,"14"))&amp;"、S45C相当"&amp;IF(MID(D1387,1,3)&lt;&gt;"アルミ","、防食：無電解Niめっき",""))</f>
        <v>G504、S45C相当、防食：無電解Niめっき</v>
      </c>
      <c r="D1408" s="208"/>
      <c r="E1408" s="209"/>
      <c r="F1408" s="217" t="str">
        <f t="shared" si="55"/>
        <v>n=1</v>
      </c>
      <c r="G1408" s="218"/>
      <c r="H1408" s="219"/>
      <c r="I1408" s="213" t="s">
        <v>13</v>
      </c>
      <c r="J1408" s="220" t="str">
        <f>IF(OR(D1384=0,D1385="　"),"",MID(F1408,3,2))</f>
        <v>1</v>
      </c>
      <c r="K1408" s="214">
        <f>IFERROR(D1384*J1408,"")</f>
        <v>10</v>
      </c>
    </row>
    <row r="1409" spans="2:11" ht="12" customHeight="1">
      <c r="B1409" s="206" t="s">
        <v>7</v>
      </c>
      <c r="C1409" s="207" t="str">
        <f>IF(OR(D1384=0,D1385="　"),"",IF(1*MID(D1385,4,1)=5,"ECF12.7","ECF15.2")&amp;"、SCM415相当"&amp;IF(MID(D1387,1,3)&lt;&gt;"アルミ","、防食：無電解Niめっき",""))</f>
        <v>ECF12.7、SCM415相当、防食：無電解Niめっき</v>
      </c>
      <c r="D1409" s="208"/>
      <c r="E1409" s="209"/>
      <c r="F1409" s="217" t="str">
        <f t="shared" si="55"/>
        <v>n=1</v>
      </c>
      <c r="G1409" s="218"/>
      <c r="H1409" s="219"/>
      <c r="I1409" s="213" t="s">
        <v>27</v>
      </c>
      <c r="J1409" s="220" t="str">
        <f>IF(OR(D1384=0,D1385="　"),"",MID(F1409,3,2))</f>
        <v>1</v>
      </c>
      <c r="K1409" s="214">
        <f>IFERROR(D1384*J1409,"")</f>
        <v>10</v>
      </c>
    </row>
    <row r="1410" spans="2:11" ht="12" customHeight="1">
      <c r="B1410" s="206" t="s">
        <v>153</v>
      </c>
      <c r="C1410" s="207" t="str" cm="1">
        <f t="array" ref="C1410">IF(OR(D1384=0,D1385="　"),"",IF(MID(D1385,4,1)="5","G5"&amp;_xlfn.SWITCH(1*MID(LEFT(D1385, LEN(D1385)-1),6,2),1,"01",2,"04",3,"03",4,"04",5,"07",6,"07",7,"07",8,"12",9,"12",10,"12",11,"12",12,"12"),"G6"&amp;_xlfn.SWITCH(1*MID(LEFT(D1385, LEN(D1385)-1),6,2),1,"01",2,"02",3,"03",4,"04",5,"07",6,"07",7,"07",8,"12",9,"12",10,"12",11,"12",12,"12",13,"14",14,"14"))&amp;"、SS400相当、防食："&amp;_xlfn.IFS(MID(D1386,1,3)="防食Ⅱ","HDZT77めっき",MID(D1386,5,2)="塩害","ｱﾙﾐﾅｲｽﾞ処理",MID(D1386,5,2)="酸性","重防食処理"))</f>
        <v>G504、SS400相当、防食：HDZT77めっき</v>
      </c>
      <c r="D1410" s="208"/>
      <c r="E1410" s="209"/>
      <c r="F1410" s="217" t="str">
        <f t="shared" si="55"/>
        <v>n=1</v>
      </c>
      <c r="G1410" s="218"/>
      <c r="H1410" s="219"/>
      <c r="I1410" s="213" t="s">
        <v>16</v>
      </c>
      <c r="J1410" s="220" t="str">
        <f>IF(OR(D1384=0,D1385="　"),"",MID(F1410,3,2))</f>
        <v>1</v>
      </c>
      <c r="K1410" s="214">
        <f>IFERROR(D1384*J1410,"")</f>
        <v>10</v>
      </c>
    </row>
    <row r="1411" spans="2:11" ht="12" customHeight="1">
      <c r="B1411" s="206" t="str">
        <f>IF(MID(D1388,1,3)="のり面","管付","")&amp;"支圧板"</f>
        <v>管付支圧板</v>
      </c>
      <c r="C1411" s="221" t="str" cm="1">
        <f t="array" ref="C1411">IF(OR(D1384=0,D1385="　"),"","PL"&amp;IF(MID(D1388,1,3)="のり面","P","")&amp;IF(MID(D1385,4,1)="5","5-"&amp;_xlfn.SWITCH(1*MID(LEFT(D1385, LEN(D1385)-1),6,2),1,"1",2,"2",3,"3",4,"4",5,"5",6,"6",7,"7",8,"9",9,"9",10,"10",11,"11",12,"12"),"6-"&amp;_xlfn.SWITCH(1*MID(LEFT(D1385, LEN(D1385)-1),6,2),1,"1",2,"2",3,"3",4,"4",5,"6",6,"6",7,"7",8,"8",9,"9",10,"10",11,"11",12,"12",13,"14",14,"14"))&amp;"、SS400相当、防食："&amp;_xlfn.IFS(MID(D1386,1,3)="防食Ⅱ","HDZT77めっき",MID(D1386,5,2)="塩害","ｱﾙﾐﾅｲｽﾞ処理",MID(D1386,5,2)="酸性","重防食処理"))</f>
        <v>PLP5-4、SS400相当、防食：HDZT77めっき</v>
      </c>
      <c r="D1411" s="208"/>
      <c r="E1411" s="209"/>
      <c r="F1411" s="217" t="str">
        <f t="shared" si="55"/>
        <v>n=1</v>
      </c>
      <c r="G1411" s="218"/>
      <c r="H1411" s="219"/>
      <c r="I1411" s="213" t="s">
        <v>16</v>
      </c>
      <c r="J1411" s="220" t="str">
        <f>IF(OR(D1384=0,D1385="　"),"",MID(F1411,3,2))</f>
        <v>1</v>
      </c>
      <c r="K1411" s="214">
        <f>IFERROR(D1384*J1411,"")</f>
        <v>10</v>
      </c>
    </row>
    <row r="1412" spans="2:11" ht="12" customHeight="1">
      <c r="B1412" s="206" t="s">
        <v>154</v>
      </c>
      <c r="C1412" s="207" t="str">
        <f>IF(OR(D1384=0,D1385="　"),"","G"&amp;MID(LEFT(D1385, LEN(D1385)-1),4,4)&amp;"、NBR45相当")</f>
        <v>G5-4、NBR45相当</v>
      </c>
      <c r="D1412" s="208"/>
      <c r="E1412" s="209"/>
      <c r="F1412" s="217" t="str">
        <f t="shared" si="55"/>
        <v>n=1</v>
      </c>
      <c r="G1412" s="218"/>
      <c r="H1412" s="219"/>
      <c r="I1412" s="213" t="s">
        <v>13</v>
      </c>
      <c r="J1412" s="220" t="str">
        <f>IF(OR(D1384=0,D1385="　"),"",MID(F1412,3,2))</f>
        <v>1</v>
      </c>
      <c r="K1412" s="214">
        <f>IFERROR(D1384*J1412,"")</f>
        <v>10</v>
      </c>
    </row>
    <row r="1413" spans="2:11" ht="12" customHeight="1">
      <c r="B1413" s="206" t="str" cm="1">
        <f t="array" ref="B1413">_xlfn.IFS(OR(D1384=0,D1385="　"),"",MID(D1387,1,3)="アルミ","頭部防錆油",MID(D1387,1,3)&lt;&gt;"アルミ","余長キャップ")</f>
        <v>余長キャップ</v>
      </c>
      <c r="C1413" s="221" t="str" cm="1">
        <f t="array" ref="C1413">_xlfn.IFS(OR(D1384=0,D1385="　"),"",MID(D1387,1,3)="アルミ","PCコートC",MID(D1387,1,3)&lt;&gt;"アルミ","TC"&amp;MID(D1385,4,1)&amp;"、高密度ポチエチレン")</f>
        <v>TC5、高密度ポチエチレン</v>
      </c>
      <c r="D1413" s="208"/>
      <c r="E1413" s="209"/>
      <c r="F1413" s="217" t="str" cm="1">
        <f t="array" ref="F1413">_xlfn.IFS(OR(D1384=0,D1385="　"),"",MID(D1387,1,3)="アルミ","W="&amp;IF(MID(D1385,4,1)="5",_xlfn.SWITCH(1*MID(LEFT(D1385, LEN(D1385)-1),6,2),1,1.9,2,1.3,3,1.3,4,1.3,5,1.6,6,1.6,7,1.6,8,3.1,9,3.1,10,3.1,11,3.1,12,3.1),"G6"&amp;_xlfn.SWITCH(1*MID(LEFT(D1385, LEN(D1385)-1),6,2),1,1.8,2,1.3,3,1.8,4,1.8,5,3.3,6,3.3,7,3.3,8,9.9,9,9.9,10,9.9,11,9.9,12,9.9,13,9.9,14,9.9)),MID(D1387,1,3)&lt;&gt;"アルミ","n=1")</f>
        <v>n=1</v>
      </c>
      <c r="G1413" s="218"/>
      <c r="H1413" s="219"/>
      <c r="I1413" s="213" t="str" cm="1">
        <f t="array" ref="I1413">_xlfn.IFS(OR(D1384=0,D1385="　"),"",MID(D1387,1,3)="アルミ","kg",MID(D1387,1,3)&lt;&gt;"アルミ","式")</f>
        <v>式</v>
      </c>
      <c r="J1413" s="220" t="str">
        <f>IF(OR(D1384=0,D1385="　"),"",MID(F1413,3,4))</f>
        <v>1</v>
      </c>
      <c r="K1413" s="214">
        <f>IFERROR(D1384*J1413,"")</f>
        <v>10</v>
      </c>
    </row>
    <row r="1414" spans="2:11" ht="12" customHeight="1">
      <c r="B1414" s="206" t="s">
        <v>9</v>
      </c>
      <c r="C1414" s="207" t="str" cm="1">
        <f t="array" ref="C1414">IF(OR(D1384=0,D1385="　"),"",IF(MID(D1385,4,1)="5","PS5-"&amp;_xlfn.SWITCH(1*MID(LEFT(D1385, LEN(D1385)-1),6,2),1,"7",2,"2",3,"3",4,"4",5,"7",6,"7",7,"7",8,"12",9,"12",10,"12",11,"12",12,"12"),"PS6-"&amp;_xlfn.SWITCH(1*MID(LEFT(D1385, LEN(D1385)-1),6,2),1,"7",2,"2",3,"3",4,"4",5,"7",6,"7",7,"7",8,"12",9,"12",10,"12",11,"12",12,"12",13,"14",14,"14"))&amp;"、高密度ポリエチレン")</f>
        <v>PS5-4、高密度ポリエチレン</v>
      </c>
      <c r="D1414" s="208"/>
      <c r="E1414" s="209"/>
      <c r="F1414" s="217" t="str">
        <f>"n=2"</f>
        <v>n=2</v>
      </c>
      <c r="G1414" s="218"/>
      <c r="H1414" s="219"/>
      <c r="I1414" s="213" t="s">
        <v>13</v>
      </c>
      <c r="J1414" s="220" t="str">
        <f>IF(OR(D1384=0,D1385="　"),"",MID(F1414,3,2))</f>
        <v>2</v>
      </c>
      <c r="K1414" s="214">
        <f>IFERROR(D1384*J1414,"")</f>
        <v>20</v>
      </c>
    </row>
    <row r="1415" spans="2:11" ht="12" customHeight="1">
      <c r="B1415" s="206" t="s">
        <v>2</v>
      </c>
      <c r="C1415" s="207" t="str" cm="1">
        <f t="array" ref="C1415">IF(OR(D1384=0,D1385="　"),"",IF(MID(D1385,4,1)="5","S5-"&amp;_xlfn.IFS(1*MID(LEFT(D1385, LEN(D1385)-1),6,2)&lt;6,"5",1*MID(LEFT(D1385, LEN(D1385)-1),6,2)&lt;9,"8",1*MID(LEFT(D1385, LEN(D1385)-1),6,2)&gt;8,"12"),"S6-"&amp;_xlfn.IFS(1*MID(LEFT(D1385, LEN(D1385)-1),6,2)&lt;4,"3",1*MID(LEFT(D1385, LEN(D1385)-1),6,2)&lt;7,"6",1*MID(LEFT(D1385, LEN(D1385)-1),6,2)&lt;10,"9",1*MID(LEFT(D1385, LEN(D1385)-1),6,2)&lt;13,"12",1*MID(LEFT(D1385, LEN(D1385)-1),6,2)&gt;12,"14"))&amp;"、ポリプロピレン")</f>
        <v>S5-5、ポリプロピレン</v>
      </c>
      <c r="D1415" s="208"/>
      <c r="E1415" s="209"/>
      <c r="F1415" s="222" t="s">
        <v>155</v>
      </c>
      <c r="G1415" s="211"/>
      <c r="H1415" s="212"/>
      <c r="I1415" s="213" t="s">
        <v>13</v>
      </c>
      <c r="J1415" s="206">
        <f>IF(OR(D1384=0,D1385="　"),"",MROUND((D1393-0.4)/1,1))</f>
        <v>4</v>
      </c>
      <c r="K1415" s="214">
        <f>IFERROR(D1384*J1415,"")</f>
        <v>40</v>
      </c>
    </row>
    <row r="1416" spans="2:11" ht="12" customHeight="1">
      <c r="B1416" s="206" t="s">
        <v>1</v>
      </c>
      <c r="C1416" s="207" t="str" cm="1">
        <f t="array" ref="C1416">IF(OR(D1384=0,D1385="　"),"",IF(MID(D1385,4,1)="5","PC5-"&amp;_xlfn.IFS(1*MID(LEFT(D1385, LEN(D1385)-1),6,2)&lt;5,"4",1*MID(LEFT(D1385, LEN(D1385)-1),6,2)&lt;8,"7",1*MID(LEFT(D1385, LEN(D1385)-1),6,2)&lt;10,"9",1*MID(LEFT(D1385, LEN(D1385)-1),6,2)&gt;9,"12"),"PC6-"&amp;_xlfn.IFS(1*MID(LEFT(D1385, LEN(D1385)-1),6,2)&lt;4,"3",1*MID(LEFT(D1385, LEN(D1385)-1),6,2)&lt;8,"7",1*MID(LEFT(D1385, LEN(D1385)-1),6,2)&lt;13,"12",1*MID(LEFT(D1385, LEN(D1385)-1),6,2)&gt;12,"14"))&amp;"、ポリプロピレン")</f>
        <v>PC5-4、ポリプロピレン</v>
      </c>
      <c r="D1416" s="208"/>
      <c r="E1416" s="209"/>
      <c r="F1416" s="217" t="str">
        <f>"n=1"</f>
        <v>n=1</v>
      </c>
      <c r="G1416" s="218"/>
      <c r="H1416" s="219"/>
      <c r="I1416" s="213" t="s">
        <v>13</v>
      </c>
      <c r="J1416" s="220" t="str">
        <f>IF(OR(D1384=0,D1385="　"),"",MID(F1416,3,2))</f>
        <v>1</v>
      </c>
      <c r="K1416" s="214">
        <f>IFERROR(D1384*J1416,"")</f>
        <v>10</v>
      </c>
    </row>
    <row r="1417" spans="2:11" ht="12" customHeight="1">
      <c r="B1417" s="206" t="s">
        <v>3</v>
      </c>
      <c r="C1417" s="207" t="str">
        <f>IF(OR(D1384=0,D1385="　"),"","66ナイロン")</f>
        <v>66ナイロン</v>
      </c>
      <c r="D1417" s="208"/>
      <c r="E1417" s="209"/>
      <c r="F1417" s="222" t="s">
        <v>156</v>
      </c>
      <c r="G1417" s="211"/>
      <c r="H1417" s="212"/>
      <c r="I1417" s="213" t="s">
        <v>14</v>
      </c>
      <c r="J1417" s="206">
        <f>IF(OR(D1384=0,D1385="　"),"",2*J1415)</f>
        <v>8</v>
      </c>
      <c r="K1417" s="214">
        <f>IFERROR(D1384*J1417,"")</f>
        <v>80</v>
      </c>
    </row>
    <row r="1418" spans="2:11" ht="12" customHeight="1">
      <c r="B1418" s="206" t="s">
        <v>4</v>
      </c>
      <c r="C1418" s="207" t="str">
        <f>IF(OR(D1384=0,D1385="　"),"","フィラメントテープ")</f>
        <v>フィラメントテープ</v>
      </c>
      <c r="D1418" s="208"/>
      <c r="E1418" s="209"/>
      <c r="F1418" s="222" t="str">
        <f>IF(OR(D1384=0,D1385="　"),"","L=((自由長+緊張部長)÷@1.0m)×テープ係数"&amp;IF(MID(D1385,4,1)="5",_xlfn.IFS(1*MID(LEFT(D1385, LEN(D1385)-1),6,2)&lt;4,"0.8",1*MID(LEFT(D1385, LEN(D1385)-1),6,2)&lt;7,"1.0",1*MID(LEFT(D1385, LEN(D1385)-1),6,2)&lt;10,"1.2",1*MID(LEFT(D1385, LEN(D1385)-1),6,2)&lt;13,"1.4"),_xlfn.IFS(1*MID(LEFT(D1385, LEN(D1385)-1),6,2)&lt;4,"1.0",1*MID(LEFT(D1385, LEN(D1385)-1),6,2)&lt;7,"1.2",1*MID(LEFT(D1385, LEN(D1385)-1),6,2)&lt;10,"1.4",1*MID(LEFT(D1385, LEN(D1385)-1),6,2)&lt;15,"1.8")))</f>
        <v>L=((自由長+緊張部長)÷@1.0m)×テープ係数1.0</v>
      </c>
      <c r="G1418" s="211"/>
      <c r="H1418" s="212"/>
      <c r="I1418" s="213" t="s">
        <v>12</v>
      </c>
      <c r="J1418" s="223">
        <f>IF(OR(D1384=0,D1385="　"),"",MROUND((SUM(D1394,D1395))/1*RIGHT(F1418, 3),0.1))</f>
        <v>5.5</v>
      </c>
      <c r="K1418" s="214">
        <f>IFERROR(D1384*J1418,"")</f>
        <v>55</v>
      </c>
    </row>
    <row r="1419" spans="2:11" ht="12" customHeight="1">
      <c r="B1419" s="206" t="s">
        <v>0</v>
      </c>
      <c r="C1419" s="207" t="str">
        <f>IF(OR(D1384=0,D1385="　"),"","16/20、高密度ポリエチレン")</f>
        <v>16/20、高密度ポリエチレン</v>
      </c>
      <c r="D1419" s="208"/>
      <c r="E1419" s="209"/>
      <c r="F1419" s="210" t="s">
        <v>33</v>
      </c>
      <c r="G1419" s="211"/>
      <c r="H1419" s="212"/>
      <c r="I1419" s="213" t="s">
        <v>12</v>
      </c>
      <c r="J1419" s="214">
        <f>IF(OR(D1384=0,D1385="　"),"",MROUND(D1397,0.1))</f>
        <v>9.7000000000000011</v>
      </c>
      <c r="K1419" s="214">
        <f>IFERROR(D1384*J1419,"")</f>
        <v>97.000000000000014</v>
      </c>
    </row>
    <row r="1420" spans="2:11" ht="12" customHeight="1">
      <c r="B1420" s="206" t="str" cm="1">
        <f t="array" ref="B1420">_xlfn.IFS(OR(D1384=0,D1385="　",MID(D1388,1,2)="なし",MID(D1388,1,3)="受圧体"),"",MID(D1388,1,3)="のり面","のり面角度台座",MID(D1388,1,3)="構造物","構造物壁面台座",MID(D1388,1,3)="土留め","土留め台座")</f>
        <v>のり面角度台座</v>
      </c>
      <c r="C1420" s="210" t="str" cm="1">
        <f t="array" ref="C1420">IF(OR(D1384=0,D1385="　",MID(D1388,1,2)="なし",MID(D1388,1,3)="受圧体"),"",_xlfn.IFS(MID(D1388,1,3)="のり面",IF(1*MID(D1385,4,1)=5,_xlfn.IFS(1*MID(LEFT(D1385, LEN(D1385)-1),6,2)&lt;5,"ST140",1*MID(LEFT(D1385, LEN(D1385)-1),6,2)&lt;8,"ST170",1*MID(LEFT(D1385, LEN(D1385)-1),6,2)&lt;13,"ST220"),_xlfn.IFS(1*MID(LEFT(D1385, LEN(D1385)-1),6,2)&lt;4,"ST140",1*MID(LEFT(D1385, LEN(D1385)-1),6,2)&lt;5,"ST170",1*MID(LEFT(D1385, LEN(D1385)-1),6,2)&lt;8,"ST220",1*MID(LEFT(D1385, LEN(D1385)-1),6,2)&lt;15,"非該当"))&amp;"、FCD450相当、防食："&amp;_xlfn.IFS(MID(D1386,1,3)="防食Ⅱ","HDZT77めっき",MID(D1386,5,2)="塩害","ｱﾙﾐﾅｲｽﾞ処理",MID(D1386,5,2)="酸性","重防食処理"),OR(MID(D1388,1,3)="構造物",MID(D1388,1,3)="土留め"),D1385&amp;"用"&amp;IF(OR(MID(D1388,1,3)="構造物",D1389="　"),"",D1389)&amp;"、防食："&amp;_xlfn.IFS(MID(D1386,1,3)="防食Ⅱ","HDZT77めっき",MID(D1386,5,2)="塩害","ｱﾙﾐﾅｲｽﾞ処理",MID(D1386,5,2)="酸性","重防食処理")))</f>
        <v>ST140、FCD450相当、防食：HDZT77めっき</v>
      </c>
      <c r="D1420" s="208"/>
      <c r="E1420" s="209"/>
      <c r="F1420" s="217" t="str">
        <f>IF(OR(D1388="なし",D1388="受圧体のみ"),"","n=1")</f>
        <v>n=1</v>
      </c>
      <c r="G1420" s="218"/>
      <c r="H1420" s="219"/>
      <c r="I1420" s="213" t="str">
        <f>IF(OR(D1384=0,D1385="　",B1420=""),"","台")</f>
        <v>台</v>
      </c>
      <c r="J1420" s="220" t="str">
        <f>IF(OR(D1384=0,D1385="　"),"",MID(F1420,3,2))</f>
        <v>1</v>
      </c>
      <c r="K1420" s="214">
        <f>IFERROR(D1384*J1420,"")</f>
        <v>10</v>
      </c>
    </row>
    <row r="1421" spans="2:11" ht="12" customHeight="1">
      <c r="B1421" s="206" t="str">
        <f>IF(OR(D1384=0,D1385="　",MID(D1388,1,3)&lt;&gt;"のり面"),"","補剛板")</f>
        <v>補剛板</v>
      </c>
      <c r="C1421" s="210" t="str" cm="1">
        <f t="array" ref="C1421">IF(OR(D1384=0,D1385="　",MID(D1388,1,3)&lt;&gt;"のり面"),"",IF(MID(D1385,4,1)="5","□"&amp;_xlfn.SWITCH(1*MID(LEFT(D1385, LEN(D1385)-1),6,2),1,"210φ131t12",2,"210φ131t12",3,"240φ131t12",4,"270φ131t12",5,"280φ143t12",6,"310φ143t16",7,"350φ143t19",8,"350φ180t19",9,"350φ180t19",10,"350φ180t19",11,"350φ180t22",12,"350φ180t22"),"□"&amp;_xlfn.SWITCH(1*MID(LEFT(D1385, LEN(D1385)-1),6,2),1,"210,φ131,t12",2,"240,φ131,t12",3,"270,φ131,t16",4,"300,φ143,t16",5,"350,φ180,t16",6,"350,φ180,t16",7,"350,φ180,t19",8,"400,φ──,t12",9,"400,φ──,t12",10,"400,φ──,t12",11,"400,φ──,t12",12,"400,φ──,t12",13,"400,φ──,t12",14,"400,φ──,t12"))&amp;"、SS400相当、防食："&amp;_xlfn.IFS(MID(D1386,1,3)="防食Ⅱ","HDZT77めっき",MID(D1386,5,2)="塩害","ｱﾙﾐﾅｲｽﾞ処理",MID(D1386,5,2)="酸性","重防食処理"))</f>
        <v>□270φ131t12、SS400相当、防食：HDZT77めっき</v>
      </c>
      <c r="D1421" s="208"/>
      <c r="E1421" s="209"/>
      <c r="F1421" s="217" t="str">
        <f>IF(OR(D1384=0,D1385="　",MID(D1388,1,3)&lt;&gt;"のり面"),"","n=1")</f>
        <v>n=1</v>
      </c>
      <c r="G1421" s="218"/>
      <c r="H1421" s="219"/>
      <c r="I1421" s="213" t="str">
        <f>IF(OR(D1384=0,D1385="　",B1421="",MID(D1388,1,3)&lt;&gt;"のり面"),"","枚")</f>
        <v>枚</v>
      </c>
      <c r="J1421" s="220" t="str">
        <f>IF(OR(D1384=0,D1385="　"),"",MID(F1421,3,2))</f>
        <v>1</v>
      </c>
      <c r="K1421" s="214">
        <f>IFERROR(D1384*J1421,"")</f>
        <v>10</v>
      </c>
    </row>
    <row r="1422" spans="2:11" ht="12" customHeight="1">
      <c r="B1422" s="206" t="str" cm="1">
        <f t="array" ref="B1422">_xlfn.IFS(OR(D1384=0,D1385="　"),"",MID(D1387,1,3)="アルミ","",MID(D1387,1,3)&lt;&gt;"アルミ","テンドン補修用塗料")</f>
        <v>テンドン補修用塗料</v>
      </c>
      <c r="C1422" s="210" t="str" cm="1">
        <f t="array" ref="C1422">_xlfn.IFS(OR(D1384=0,D1385="　"),"",MID(D1387,1,3)="アルミ","",MID(D1387,1,3)&lt;&gt;"アルミ","エポキシ樹脂")</f>
        <v>エポキシ樹脂</v>
      </c>
      <c r="D1422" s="208"/>
      <c r="E1422" s="209"/>
      <c r="F1422" s="217" t="str" cm="1">
        <f t="array" ref="F1422">_xlfn.IFS(OR(D1384=0,D1385="　"),"",MID(D1387,1,3)="アルミ","",MID(D1387,1,3)&lt;&gt;"アルミ","W=PC鋼より線本数×"&amp;IF(MID(D1385,4,1)="5","0.28","0.40"))</f>
        <v>W=PC鋼より線本数×0.28</v>
      </c>
      <c r="G1422" s="218"/>
      <c r="H1422" s="219"/>
      <c r="I1422" s="213" t="str" cm="1">
        <f t="array" ref="I1422">_xlfn.IFS(OR(D1384=0,D1385="　"),"",MID(D1387,1,3)="アルミ","",MID(D1387,1,3)&lt;&gt;"アルミ","g")</f>
        <v>g</v>
      </c>
      <c r="J1422" s="224" cm="1">
        <f t="array" ref="J1422">_xlfn.IFS(OR(D1384=0,D1385="　"),"",MID(D1387,1,3)="アルミ","",MID(D1387,1,3)&lt;&gt;"アルミ",MID(LEFT(D1385, LEN(D1385)-1),6,2)*IF(MID(D1385,4,1)="5",0.28,0.4))</f>
        <v>1.1200000000000001</v>
      </c>
      <c r="K1422" s="214">
        <f>IFERROR(D1384*J1422,"")</f>
        <v>11.200000000000001</v>
      </c>
    </row>
    <row r="1423" spans="2:11" ht="12" customHeight="1">
      <c r="B1423" s="206" t="str" cm="1">
        <f t="array" ref="B1423">_xlfn.IFS(OR(D1384=0,D1385="　"),"",MID(D1387,1,3)="アルミ","",MID(D1387,1,3)&lt;&gt;"アルミ","長期防錆スプレー")</f>
        <v>長期防錆スプレー</v>
      </c>
      <c r="C1423" s="210" t="str" cm="1">
        <f t="array" ref="C1423">_xlfn.IFS(OR(D1384=0,D1385="　"),"",MID(D1387,1,3)="アルミ","",MID(D1387,1,3)&lt;&gt;"アルミ","防錆オイル")</f>
        <v>防錆オイル</v>
      </c>
      <c r="D1423" s="208"/>
      <c r="E1423" s="209"/>
      <c r="F1423" s="217" t="str" cm="1">
        <f t="array" ref="F1423">_xlfn.IFS(OR(D1384=0,D1385="　"),"",MID(D1387,1,3)="アルミ","",MID(D1387,1,3)&lt;&gt;"アルミ","n=0.01×(PC鋼より線本数+"&amp;IF(MID(D1385,4,1)="5","6","12")&amp;")")</f>
        <v>n=0.01×(PC鋼より線本数+6)</v>
      </c>
      <c r="G1423" s="218"/>
      <c r="H1423" s="219"/>
      <c r="I1423" s="213" t="str" cm="1">
        <f t="array" ref="I1423">_xlfn.IFS(OR(D1384=0,D1385="　"),"",MID(D1387,1,3)="アルミ","",MID(D1387,1,3)&lt;&gt;"アルミ","缶")</f>
        <v>缶</v>
      </c>
      <c r="J1423" s="224" cm="1">
        <f t="array" ref="J1423">_xlfn.IFS(OR(D1384=0,D1385="　"),"",MID(D1387,1,3)="アルミ","",MID(D1387,1,3)&lt;&gt;"アルミ",0.01*(MID(LEFT(D1385, LEN(D1385)-1),6,2)+IF(MID(D1385,4,1)="5",6,12)))</f>
        <v>0.1</v>
      </c>
      <c r="K1423" s="214">
        <f>IFERROR(D1384*J1423,"")</f>
        <v>1</v>
      </c>
    </row>
    <row r="1424" spans="2:11" ht="12" customHeight="1">
      <c r="B1424" s="206" t="str">
        <f>IF(OR(D1384=0,D1385="　",D1390="なし"),"","フリーパッカー注入ホース")</f>
        <v/>
      </c>
      <c r="C1424" s="207" t="str">
        <f>IF(OR(D1384=0,D1385="　",B1424=""),"","16/20、高密度ポリエチレン")</f>
        <v/>
      </c>
      <c r="D1424" s="208"/>
      <c r="E1424" s="209"/>
      <c r="F1424" s="210" t="str">
        <f>IF(B1424="","","L=自由長+緊張部長")</f>
        <v/>
      </c>
      <c r="G1424" s="211"/>
      <c r="H1424" s="212"/>
      <c r="I1424" s="213" t="str">
        <f>IF(OR(D1384=0,D1385="　",B1424=""),"","m")</f>
        <v/>
      </c>
      <c r="J1424" s="214" t="str">
        <f>IF(OR(D1384=0,D1385="　"),"",IF(B1424="","",MROUND(D1394+D1395,0.1)))</f>
        <v/>
      </c>
      <c r="K1424" s="214" t="str">
        <f>IFERROR(D1384*J1424,"")</f>
        <v/>
      </c>
    </row>
    <row r="1425" spans="2:11" ht="12" customHeight="1">
      <c r="B1425" s="225" t="str">
        <f>IF(OR(D1384=0,D1385="　",D1390="なし"),"","フリーパッカー")</f>
        <v/>
      </c>
      <c r="C1425" s="217" t="str" cm="1">
        <f t="array" ref="C1425">IF(OR(D1384=0,D1385="　",B1424=""),"",_xlfn.SWITCH(D1399,90,"PA-170",115,"PA-200",135,"PA-240",146,"PA-240",165,"PA-350")&amp;"、織布")</f>
        <v/>
      </c>
      <c r="D1425" s="208"/>
      <c r="E1425" s="209"/>
      <c r="F1425" s="226" t="str">
        <f>IF(B1425="","","L=自由長+0.5m")</f>
        <v/>
      </c>
      <c r="G1425" s="227"/>
      <c r="H1425" s="228"/>
      <c r="I1425" s="213" t="str">
        <f>IF(OR(D1385=0,D1386="　",B1425=""),"","m")</f>
        <v/>
      </c>
      <c r="J1425" s="214" t="str">
        <f>IF(OR(D1384=0,D1385="　"),"",IF(B1425="","",MROUND(D1394+0.5,0.1)))</f>
        <v/>
      </c>
      <c r="K1425" s="214" t="str">
        <f>IFERROR(D1384*J1425,"")</f>
        <v/>
      </c>
    </row>
    <row r="1426" spans="2:11" ht="12" customHeight="1">
      <c r="B1426" s="206" t="str">
        <f>IF(OR(D1384=0,D1385="　",D1390="なし"),"","パッカー取付加工")</f>
        <v/>
      </c>
      <c r="C1426" s="207"/>
      <c r="D1426" s="208"/>
      <c r="E1426" s="209"/>
      <c r="F1426" s="217" t="str">
        <f>IF(B1426="","","n=1")</f>
        <v/>
      </c>
      <c r="G1426" s="218"/>
      <c r="H1426" s="219"/>
      <c r="I1426" s="213" t="str">
        <f>IF(OR(D1386=0,D1387="　",B1426=""),"","式")</f>
        <v/>
      </c>
      <c r="J1426" s="220" t="str">
        <f>IF(OR(D1384=0,D1385="　"),"",MID(F1426,3,2))</f>
        <v/>
      </c>
      <c r="K1426" s="206" t="str">
        <f>IFERROR(D1384*J1426,"")</f>
        <v/>
      </c>
    </row>
    <row r="1427" spans="2:11" ht="12" customHeight="1">
      <c r="B1427" s="229"/>
      <c r="C1427" s="230"/>
      <c r="D1427" s="231"/>
      <c r="E1427" s="232"/>
      <c r="F1427" s="233"/>
      <c r="G1427" s="234"/>
      <c r="H1427" s="235"/>
      <c r="I1427" s="236"/>
      <c r="J1427" s="237"/>
      <c r="K1427" s="229"/>
    </row>
    <row r="1428" spans="2:11" ht="12" customHeight="1">
      <c r="B1428" s="238" t="s">
        <v>30</v>
      </c>
      <c r="C1428" s="239" t="s">
        <v>31</v>
      </c>
      <c r="D1428" s="240"/>
      <c r="E1428" s="241"/>
      <c r="F1428" s="242" t="s">
        <v>157</v>
      </c>
      <c r="G1428" s="243"/>
      <c r="H1428" s="244"/>
      <c r="I1428" s="245" t="s">
        <v>55</v>
      </c>
      <c r="J1428" s="246">
        <f>IFERROR(MROUND(0.25*PI()*(0.001*D1399)^2*(D1392+D1393+D1398)*(1+2.2),0.01),"")</f>
        <v>0.17</v>
      </c>
      <c r="K1428" s="246">
        <f>IFERROR(D1384*J1428,"")</f>
        <v>1.7000000000000002</v>
      </c>
    </row>
    <row r="1430" spans="2:11" ht="12" customHeight="1">
      <c r="B1430" s="247" t="s">
        <v>136</v>
      </c>
      <c r="C1430" s="247"/>
      <c r="D1430" s="247"/>
      <c r="F1430" s="163"/>
      <c r="G1430" s="164"/>
      <c r="H1430" s="164"/>
    </row>
    <row r="1431" spans="2:11" ht="12" customHeight="1">
      <c r="B1431" s="15" t="s">
        <v>111</v>
      </c>
      <c r="C1431" s="15"/>
      <c r="D1431" s="1"/>
      <c r="E1431" s="1"/>
      <c r="H1431" s="119"/>
      <c r="J1431" s="118"/>
    </row>
    <row r="1432" spans="2:11" ht="12" customHeight="1">
      <c r="B1432" s="165" t="s">
        <v>166</v>
      </c>
      <c r="C1432" s="3"/>
      <c r="D1432" s="1"/>
      <c r="E1432" s="1"/>
      <c r="F1432" s="8"/>
      <c r="G1432" s="8"/>
      <c r="H1432" s="102"/>
      <c r="I1432" s="28"/>
      <c r="J1432" s="118"/>
    </row>
    <row r="1433" spans="2:11" ht="12" customHeight="1">
      <c r="B1433" s="15" t="s">
        <v>40</v>
      </c>
      <c r="C1433" s="3"/>
      <c r="D1433" s="1"/>
      <c r="E1433" s="1"/>
      <c r="F1433" s="15" t="s">
        <v>54</v>
      </c>
      <c r="G1433" s="15"/>
      <c r="H1433" s="102"/>
      <c r="I1433" s="28"/>
    </row>
    <row r="1434" spans="2:11" ht="12" customHeight="1">
      <c r="B1434" s="2" t="s">
        <v>53</v>
      </c>
      <c r="C1434" s="2" t="s">
        <v>21</v>
      </c>
      <c r="D1434" s="2" t="s">
        <v>22</v>
      </c>
      <c r="E1434" s="17"/>
      <c r="F1434" s="49" t="s">
        <v>41</v>
      </c>
      <c r="G1434" s="97" t="s">
        <v>59</v>
      </c>
      <c r="H1434" s="49" t="s">
        <v>44</v>
      </c>
      <c r="I1434" s="2" t="s">
        <v>21</v>
      </c>
      <c r="J1434" s="49" t="s">
        <v>138</v>
      </c>
      <c r="K1434" s="2" t="s">
        <v>28</v>
      </c>
    </row>
    <row r="1435" spans="2:11" ht="12" customHeight="1">
      <c r="B1435" s="166" t="s">
        <v>25</v>
      </c>
      <c r="C1435" s="18" t="s">
        <v>24</v>
      </c>
      <c r="D1435" s="167">
        <v>10</v>
      </c>
      <c r="E1435" s="19"/>
      <c r="F1435" s="168" t="s">
        <v>43</v>
      </c>
      <c r="G1435" s="169" t="s">
        <v>113</v>
      </c>
      <c r="H1435" s="88" t="str" cm="1">
        <f t="array" ref="H1435">_xlfn.IFS(AND(F1435&lt;&gt;"非削孔",F1435&lt;&gt;"無設定"),D1450,F1435="非削孔",IF(MID(D1439,1,3)="土留め","非削孔","箱抜き"),F1435="無設定","無設定")</f>
        <v>箱抜き</v>
      </c>
      <c r="I1435" s="23" t="str">
        <f>IF(F1435="無設定","","m")</f>
        <v>m</v>
      </c>
      <c r="J1435" s="170">
        <v>0.5</v>
      </c>
      <c r="K1435" s="30">
        <f>D1435*J1435</f>
        <v>5</v>
      </c>
    </row>
    <row r="1436" spans="2:11" ht="12" customHeight="1">
      <c r="B1436" s="171" t="s">
        <v>37</v>
      </c>
      <c r="C1436" s="50" t="s">
        <v>38</v>
      </c>
      <c r="D1436" s="172" t="s">
        <v>159</v>
      </c>
      <c r="E1436" s="173"/>
      <c r="F1436" s="174" t="s">
        <v>49</v>
      </c>
      <c r="G1436" s="169" t="s">
        <v>114</v>
      </c>
      <c r="H1436" s="88" cm="1">
        <f t="array" ref="H1436">_xlfn.IFS(AND(F1436&lt;&gt;"非削孔",F1436&lt;&gt;"無設定"),D1450,F1436="非削孔","箱抜き",F1436="無設定","無設定")</f>
        <v>90</v>
      </c>
      <c r="I1436" s="23" t="str">
        <f t="shared" ref="I1436:I1444" si="56">IF(F1436="無設定","","m")</f>
        <v>m</v>
      </c>
      <c r="J1436" s="170">
        <v>2.64</v>
      </c>
      <c r="K1436" s="30">
        <f>D1435*J1436</f>
        <v>26.400000000000002</v>
      </c>
    </row>
    <row r="1437" spans="2:11" ht="12" customHeight="1">
      <c r="B1437" s="52" t="s">
        <v>39</v>
      </c>
      <c r="C1437" s="91" t="s">
        <v>38</v>
      </c>
      <c r="D1437" s="175" t="s">
        <v>60</v>
      </c>
      <c r="E1437" s="140"/>
      <c r="F1437" s="174" t="s">
        <v>49</v>
      </c>
      <c r="G1437" s="169" t="s">
        <v>115</v>
      </c>
      <c r="H1437" s="88" cm="1">
        <f t="array" ref="H1437">_xlfn.IFS(AND(F1437&lt;&gt;"非削孔",F1437&lt;&gt;"無設定"),D1450,F1437="非削孔","箱抜き",F1437="無設定","無設定")</f>
        <v>90</v>
      </c>
      <c r="I1437" s="23" t="str">
        <f t="shared" si="56"/>
        <v>m</v>
      </c>
      <c r="J1437" s="170">
        <v>5.36</v>
      </c>
      <c r="K1437" s="30">
        <f>D1435*J1437</f>
        <v>53.6</v>
      </c>
    </row>
    <row r="1438" spans="2:11" ht="12" customHeight="1">
      <c r="B1438" s="147" t="s">
        <v>140</v>
      </c>
      <c r="C1438" s="91" t="s">
        <v>38</v>
      </c>
      <c r="D1438" s="176" t="s">
        <v>141</v>
      </c>
      <c r="E1438" s="141"/>
      <c r="F1438" s="174" t="s">
        <v>48</v>
      </c>
      <c r="G1438" s="169"/>
      <c r="H1438" s="88" t="str" cm="1">
        <f t="array" ref="H1438">_xlfn.IFS(AND(F1438&lt;&gt;"非削孔",F1438&lt;&gt;"無設定"),D1450,F1438="非削孔","箱抜き",F1438="無設定","無設定")</f>
        <v>無設定</v>
      </c>
      <c r="I1438" s="23" t="str">
        <f t="shared" si="56"/>
        <v/>
      </c>
      <c r="J1438" s="170">
        <v>0</v>
      </c>
      <c r="K1438" s="30">
        <f>D1435*J1438</f>
        <v>0</v>
      </c>
    </row>
    <row r="1439" spans="2:11" ht="12" customHeight="1">
      <c r="B1439" s="147" t="s">
        <v>142</v>
      </c>
      <c r="C1439" s="91" t="s">
        <v>38</v>
      </c>
      <c r="D1439" s="177" t="s">
        <v>160</v>
      </c>
      <c r="E1439" s="21"/>
      <c r="F1439" s="174" t="s">
        <v>48</v>
      </c>
      <c r="G1439" s="169"/>
      <c r="H1439" s="88" t="str" cm="1">
        <f t="array" ref="H1439">_xlfn.IFS(AND(F1439&lt;&gt;"非削孔",F1439&lt;&gt;"無設定"),D1450,F1439="非削孔","箱抜き",F1439="無設定","無設定")</f>
        <v>無設定</v>
      </c>
      <c r="I1439" s="23" t="str">
        <f t="shared" si="56"/>
        <v/>
      </c>
      <c r="J1439" s="170">
        <v>0</v>
      </c>
      <c r="K1439" s="30">
        <f>D1435*J1439</f>
        <v>0</v>
      </c>
    </row>
    <row r="1440" spans="2:11" ht="12" customHeight="1">
      <c r="B1440" s="114" t="str">
        <f>IF(MID(D1439,1,3)="土留め",D1439&amp;"の種類","")</f>
        <v/>
      </c>
      <c r="C1440" s="91" t="s">
        <v>38</v>
      </c>
      <c r="D1440" s="178" t="s">
        <v>71</v>
      </c>
      <c r="E1440" s="21"/>
      <c r="F1440" s="174" t="s">
        <v>48</v>
      </c>
      <c r="G1440" s="169"/>
      <c r="H1440" s="88" t="str" cm="1">
        <f t="array" ref="H1440">_xlfn.IFS(AND(F1440&lt;&gt;"非削孔",F1440&lt;&gt;"無設定"),D1450,F1440="非削孔","箱抜き",F1440="無設定","無設定")</f>
        <v>無設定</v>
      </c>
      <c r="I1440" s="23" t="str">
        <f t="shared" si="56"/>
        <v/>
      </c>
      <c r="J1440" s="170">
        <v>0</v>
      </c>
      <c r="K1440" s="30">
        <f>D1435*J1440</f>
        <v>0</v>
      </c>
    </row>
    <row r="1441" spans="2:11" ht="12" customHeight="1">
      <c r="B1441" s="179" t="s">
        <v>50</v>
      </c>
      <c r="C1441" s="180" t="s">
        <v>38</v>
      </c>
      <c r="D1441" s="181" t="s">
        <v>51</v>
      </c>
      <c r="E1441" s="182"/>
      <c r="F1441" s="174" t="s">
        <v>48</v>
      </c>
      <c r="G1441" s="169"/>
      <c r="H1441" s="88" t="str" cm="1">
        <f t="array" ref="H1441">_xlfn.IFS(AND(F1441&lt;&gt;"非削孔",F1441&lt;&gt;"無設定"),D1450,F1441="非削孔","箱抜き",F1441="無設定","無設定")</f>
        <v>無設定</v>
      </c>
      <c r="I1441" s="23" t="str">
        <f t="shared" si="56"/>
        <v/>
      </c>
      <c r="J1441" s="170">
        <v>0</v>
      </c>
      <c r="K1441" s="30">
        <f>D1435*J1441</f>
        <v>0</v>
      </c>
    </row>
    <row r="1442" spans="2:11" ht="12" customHeight="1">
      <c r="B1442" s="160" t="str" cm="1">
        <f t="array" ref="B1442">"頭部自由長"&amp;_xlfn.IFS(MID(D1439,1,2)="なし","",MID(D1439,1,3)="受圧体","(受圧体)",MID(D1439,1,3)="のり面","(角度台座＋受圧体)",MID(D1439,1,3)="構造物","(壁面台座)",MID(D1439,1,3)="土留め","(台座+腹起し)")&amp;"　Lfh"</f>
        <v>頭部自由長(角度台座＋受圧体)　Lfh</v>
      </c>
      <c r="C1442" s="155" t="s">
        <v>23</v>
      </c>
      <c r="D1442" s="183">
        <v>0.5</v>
      </c>
      <c r="E1442" s="21"/>
      <c r="F1442" s="174" t="s">
        <v>144</v>
      </c>
      <c r="G1442" s="169"/>
      <c r="H1442" s="88" cm="1">
        <f t="array" ref="H1442">_xlfn.IFS(AND(F1442&lt;&gt;"非削孔",F1442&lt;&gt;"無設定"),D1450,F1442="非削孔","箱抜き",F1442="無設定","無設定")</f>
        <v>90</v>
      </c>
      <c r="I1442" s="23" t="str">
        <f t="shared" si="56"/>
        <v>m</v>
      </c>
      <c r="J1442" s="170">
        <v>0</v>
      </c>
      <c r="K1442" s="30">
        <f>D1435*J1442</f>
        <v>0</v>
      </c>
    </row>
    <row r="1443" spans="2:11" ht="12" customHeight="1">
      <c r="B1443" s="22" t="s">
        <v>108</v>
      </c>
      <c r="C1443" s="23" t="s">
        <v>23</v>
      </c>
      <c r="D1443" s="184">
        <v>4</v>
      </c>
      <c r="E1443" s="21"/>
      <c r="F1443" s="174" t="s">
        <v>48</v>
      </c>
      <c r="G1443" s="169"/>
      <c r="H1443" s="88" t="str" cm="1">
        <f t="array" ref="H1443">_xlfn.IFS(AND(F1443&lt;&gt;"非削孔",F1443&lt;&gt;"無設定"),D1450,F1443="非削孔","箱抜き",F1443="無設定","無設定")</f>
        <v>無設定</v>
      </c>
      <c r="I1443" s="23" t="str">
        <f t="shared" si="56"/>
        <v/>
      </c>
      <c r="J1443" s="170">
        <v>0</v>
      </c>
      <c r="K1443" s="30">
        <f>D1435*J1443</f>
        <v>0</v>
      </c>
    </row>
    <row r="1444" spans="2:11" ht="12" customHeight="1">
      <c r="B1444" s="157" t="s">
        <v>36</v>
      </c>
      <c r="C1444" s="158" t="s">
        <v>23</v>
      </c>
      <c r="D1444" s="185">
        <v>4</v>
      </c>
      <c r="F1444" s="186" t="str" cm="1">
        <f t="array" ref="F1444">INDEX(F1435:H1443,MATCH("無設定",F1435:F1443,0)-1,MATCH(F1434,F1434:H1434,0))</f>
        <v>軟　岩</v>
      </c>
      <c r="G1444" s="100" t="str" cm="1">
        <f t="array" ref="G1444">INDEX(F1435:H1443,MATCH("無設定",F1435:F1443,0)-1,MATCH(G1434,F1434:H1434,0))&amp;"　(先端長 L2d)"</f>
        <v>風化岩 CL　(先端長 L2d)</v>
      </c>
      <c r="H1444" s="88" cm="1">
        <f t="array" ref="H1444">INDEX(F1435:H1443,MATCH("無設定",F1435:F1443,0)-1,MATCH(H1434,F1434:H1434,0))</f>
        <v>90</v>
      </c>
      <c r="I1444" s="23" t="str">
        <f t="shared" si="56"/>
        <v>m</v>
      </c>
      <c r="J1444" s="98">
        <f>D1449</f>
        <v>0.25</v>
      </c>
      <c r="K1444" s="78">
        <f>IFERROR(D1435*J1444,"")</f>
        <v>2.5</v>
      </c>
    </row>
    <row r="1445" spans="2:11" ht="12" customHeight="1">
      <c r="B1445" s="154" t="s">
        <v>145</v>
      </c>
      <c r="C1445" s="155" t="s">
        <v>23</v>
      </c>
      <c r="D1445" s="187">
        <f>IF(OR(D1435=0,D1436="　"),"──",SUM(D1442:D1443))</f>
        <v>4.5</v>
      </c>
      <c r="E1445" s="19"/>
      <c r="F1445" s="188"/>
      <c r="G1445" s="75" t="s">
        <v>124</v>
      </c>
      <c r="H1445" s="103"/>
      <c r="I1445" s="18" t="s">
        <v>23</v>
      </c>
      <c r="J1445" s="74">
        <f>SUMIFS(J1435:J1444,F1435:F1444,"&lt;&gt;非削孔",F1435:F1444,"&lt;&gt;無設定")</f>
        <v>8.25</v>
      </c>
      <c r="K1445" s="95">
        <f>SUMIFS(K1435:K1444,F1435:F1444,"&lt;&gt;非削孔",F1435:F1444,"&lt;&gt;無設定")</f>
        <v>82.5</v>
      </c>
    </row>
    <row r="1446" spans="2:11" ht="12" customHeight="1">
      <c r="B1446" s="146" t="s">
        <v>146</v>
      </c>
      <c r="C1446" s="23" t="s">
        <v>23</v>
      </c>
      <c r="D1446" s="189" cm="1">
        <f t="array" ref="D1446">IF(OR(D1435=0,D1436="　"),"──",IF(MID(D1436,4,1)="5",_xlfn.IFS(1*MID(LEFT(D1436, LEN(D1436)-1),6,2)&lt;8,1,1*MID(LEFT(D1436, LEN(D1436)-1),6,2)&lt;13,1.2),_xlfn.IFS(1*MID(LEFT(D1436, LEN(D1436)-1),6,2)&lt;6,1,1*MID(LEFT(D1436, LEN(D1436)-1),6,2)&lt;15,1.2)))</f>
        <v>1</v>
      </c>
      <c r="E1446" s="19"/>
      <c r="F1446" s="190"/>
      <c r="G1446" s="76" t="s">
        <v>47</v>
      </c>
      <c r="H1446" s="104"/>
      <c r="I1446" s="79" t="s">
        <v>46</v>
      </c>
      <c r="J1446" s="77" t="str">
        <f>IF(OR(D1435=0,D1436="　"),"",IF(SUM(D1443:D1444,D1449)=J1445,"OK","NG"))</f>
        <v>OK</v>
      </c>
      <c r="K1446" s="145" t="str">
        <f>IF(J1446&lt;&gt;"NG","──",J1445-SUM(D1443:D1444,D1449))</f>
        <v>──</v>
      </c>
    </row>
    <row r="1447" spans="2:11" ht="12" customHeight="1">
      <c r="B1447" s="22" t="s">
        <v>125</v>
      </c>
      <c r="C1447" s="23" t="s">
        <v>35</v>
      </c>
      <c r="D1447" s="84">
        <f>IF(OR(D1435=0,D1436="　"),"──",0.2)</f>
        <v>0.2</v>
      </c>
      <c r="F1447" s="191" t="s">
        <v>58</v>
      </c>
      <c r="G1447" s="248" t="s">
        <v>110</v>
      </c>
      <c r="H1447" s="249"/>
      <c r="I1447" s="249"/>
      <c r="J1447" s="249"/>
      <c r="K1447" s="250"/>
    </row>
    <row r="1448" spans="2:11" ht="12" customHeight="1">
      <c r="B1448" s="6" t="s">
        <v>147</v>
      </c>
      <c r="C1448" s="23" t="s">
        <v>23</v>
      </c>
      <c r="D1448" s="60">
        <f>IF(OR(D1435=0,D1436="　"),"──",SUM(D1444:D1447))</f>
        <v>9.6999999999999993</v>
      </c>
    </row>
    <row r="1449" spans="2:11" ht="12" customHeight="1">
      <c r="B1449" s="25" t="s">
        <v>127</v>
      </c>
      <c r="C1449" s="26" t="s">
        <v>23</v>
      </c>
      <c r="D1449" s="27">
        <f>IF(OR(D1435=0,D1436="　"),"──",0.25)</f>
        <v>0.25</v>
      </c>
      <c r="F1449" s="8"/>
      <c r="G1449" s="8"/>
      <c r="H1449" s="102"/>
    </row>
    <row r="1450" spans="2:11" ht="12" customHeight="1">
      <c r="B1450" s="95" t="s">
        <v>123</v>
      </c>
      <c r="C1450" s="18" t="s">
        <v>32</v>
      </c>
      <c r="D1450" s="192">
        <v>90</v>
      </c>
      <c r="E1450" s="193" t="str">
        <f>IF(D1450&lt;D1451,"NG：削孔径不適合","")</f>
        <v/>
      </c>
      <c r="F1450" s="8"/>
      <c r="G1450" s="8"/>
      <c r="H1450" s="102"/>
    </row>
    <row r="1451" spans="2:11" ht="12" customHeight="1">
      <c r="B1451" s="25" t="s">
        <v>122</v>
      </c>
      <c r="C1451" s="26" t="s">
        <v>32</v>
      </c>
      <c r="D1451" s="194" cm="1">
        <f t="array" ref="D1451">IF(OR(D1435=0,D1436="　"),"──",IF(D1441="なし",IF(MID(D1436,4,1)="5",_xlfn.IFS(1*MID(LEFT(D1436, LEN(D1436)-1),6,2)&lt;6,90,1*MID(LEFT(D1436, LEN(D1436)-1),6,2)&lt;9,115,1*MID(LEFT(D1436, LEN(D1436)-1),6,2)&gt;8,135),_xlfn.IFS(1*MID(LEFT(D1436, LEN(D1436)-1),6,2)&lt;4,90,1*MID(LEFT(D1436, LEN(D1436)-1),6,2)&lt;7,115,1*MID(LEFT(D1436, LEN(D1436)-1),6,2)&lt;10,135,1*MID(LEFT(D1436, LEN(D1436)-1),6,2)&lt;13,146,1*MID(LEFT(D1436, LEN(D1436)-1),6,2)&gt;12,165)),IF(MID(D1436,4,1)="5",_xlfn.IFS(1*MID(LEFT(D1436, LEN(D1436)-1),6,2)&lt;3,90,1*MID(LEFT(D1436, LEN(D1436)-1),6,2)&lt;7,115,1*MID(LEFT(D1436, LEN(D1436)-1),6,2)&lt;9,135,1*MID(LEFT(D1436, LEN(D1436)-1),6,2)&gt;8,146),_xlfn.IFS(1*MID(LEFT(D1436, LEN(D1436)-1),6,2)&lt;3,90,1*MID(LEFT(D1436, LEN(D1436)-1),6,2)&lt;4,115,1*MID(LEFT(D1436, LEN(D1436)-1),6,2)&lt;6,135,1*MID(LEFT(D1436, LEN(D1436)-1),6,2)&lt;10,146,1*MID(LEFT(D1436, LEN(D1436)-1),6,2)&lt;13,165,1*MID(LEFT(D1436, LEN(D1436)-1),6,2)&gt;12,216))))</f>
        <v>90</v>
      </c>
      <c r="E1451" s="195"/>
      <c r="F1451" s="8"/>
      <c r="G1451" s="8"/>
      <c r="H1451" s="102"/>
    </row>
    <row r="1452" spans="2:11" ht="12" customHeight="1">
      <c r="B1452" s="20"/>
      <c r="C1452" s="46"/>
      <c r="D1452" s="117"/>
      <c r="F1452" s="8"/>
      <c r="G1452" s="8"/>
      <c r="H1452" s="102"/>
    </row>
    <row r="1453" spans="2:11" ht="12" customHeight="1">
      <c r="B1453" s="15" t="str">
        <f>"■"&amp;MID(B1430,2,14)</f>
        <v>■本設：EHDアンカーHP工法</v>
      </c>
      <c r="C1453" s="3"/>
      <c r="D1453" s="1"/>
      <c r="E1453" s="1"/>
      <c r="F1453" s="8"/>
      <c r="G1453" s="8"/>
      <c r="H1453" s="102"/>
    </row>
    <row r="1454" spans="2:11" ht="12" customHeight="1">
      <c r="B1454" s="2" t="s">
        <v>17</v>
      </c>
      <c r="C1454" s="43"/>
      <c r="D1454" s="196" t="s">
        <v>148</v>
      </c>
      <c r="E1454" s="135"/>
      <c r="F1454" s="16"/>
      <c r="G1454" s="61" t="s">
        <v>42</v>
      </c>
      <c r="H1454" s="97"/>
      <c r="I1454" s="2" t="s">
        <v>21</v>
      </c>
      <c r="J1454" s="49" t="s">
        <v>149</v>
      </c>
      <c r="K1454" s="2" t="s">
        <v>28</v>
      </c>
    </row>
    <row r="1455" spans="2:11" ht="12" customHeight="1">
      <c r="B1455" s="197" t="s">
        <v>150</v>
      </c>
      <c r="C1455" s="198" t="str">
        <f>IF(OR(D1435=0,D1436="　"),"",D1436&amp;" ("&amp;MID(LEFT(D1436, LEN(D1436)-1),6,2)&amp;IF(MID(D1436,4,1)="5","φ12.7","φ15.2")&amp;")")</f>
        <v>EHD5-4H (4φ12.7)</v>
      </c>
      <c r="D1455" s="199"/>
      <c r="E1455" s="200"/>
      <c r="F1455" s="201" t="str">
        <f>"W=テンドン長×PC鋼より線本数×"&amp;IF(MID(D1436,4,1)="5","0.774","1.101")&amp;"kg/m"</f>
        <v>W=テンドン長×PC鋼より線本数×0.774kg/m</v>
      </c>
      <c r="G1455" s="202"/>
      <c r="H1455" s="203"/>
      <c r="I1455" s="204" t="s">
        <v>11</v>
      </c>
      <c r="J1455" s="205">
        <f>IF(OR(D1435=0,D1436="　"),"",MROUND(D1448*MID(LEFT(D1436, LEN(D1436)-1),6,2)*IF(MID(D1436,4,1)="5","0.774","1.101"),0.01))</f>
        <v>30.03</v>
      </c>
      <c r="K1455" s="205">
        <f>IFERROR(D1435*J1455,"")</f>
        <v>300.3</v>
      </c>
    </row>
    <row r="1456" spans="2:11" ht="12" customHeight="1">
      <c r="B1456" s="206" t="s">
        <v>151</v>
      </c>
      <c r="C1456" s="207"/>
      <c r="D1456" s="208"/>
      <c r="E1456" s="209"/>
      <c r="F1456" s="210" t="s">
        <v>33</v>
      </c>
      <c r="G1456" s="211"/>
      <c r="H1456" s="212"/>
      <c r="I1456" s="213" t="s">
        <v>12</v>
      </c>
      <c r="J1456" s="214">
        <f>IF(OR(D1435=0,D1436="　"),"",MROUND(D1448,0.1))</f>
        <v>9.7000000000000011</v>
      </c>
      <c r="K1456" s="214">
        <f>IFERROR(D1435*J1456,"")</f>
        <v>97.000000000000014</v>
      </c>
    </row>
    <row r="1457" spans="2:11" ht="12" customHeight="1">
      <c r="B1457" s="206" t="str">
        <f>"頭部キャップ"</f>
        <v>頭部キャップ</v>
      </c>
      <c r="C1457" s="207" t="str" cm="1">
        <f t="array" ref="C1457">IF(OR(D1435=0,D1436="　"),"",IF(MID(D1436,4,1)="5",_xlfn.SWITCH(1*MID(LEFT(D1436, LEN(D1436)-1),6,2),1,"S",2,"S",3,"S",4,"S",5,"M",6,"M",7,"M",8,"L",9,"L",10,"L",11,"L",12,"L"),_xlfn.SWITCH(1*MID(LEFT(D1436, LEN(D1436)-1),6,2),1,"S",2,"S",3,"M",4,"M",5,"L",6,"L",7,"L",8,"LL",9,"LL",10,"LL",11,"LL",12,"LL",13,"LL",14,"LL"))&amp;"型"&amp;D1438&amp;IF(OR(MID(D1438,1,2)="透明",MID(D1438,1,2)="5窓"),"、PC樹脂","")&amp;"、ｱﾙﾐAC4C相当"&amp;_xlfn.IFS(MID(D1437,1,3)="防食Ⅱ","",MID(D1437,5,2)="塩害","、防食：ﾀｹｺｰﾄ処理",MID(D1437,5,2)="酸性","、防食：重防食処理"))</f>
        <v>S型透明キャップ、PC樹脂、ｱﾙﾐAC4C相当</v>
      </c>
      <c r="D1457" s="215"/>
      <c r="E1457" s="216"/>
      <c r="F1457" s="217" t="str">
        <f t="shared" ref="F1457:F1463" si="57">"n=1"</f>
        <v>n=1</v>
      </c>
      <c r="G1457" s="218"/>
      <c r="H1457" s="219"/>
      <c r="I1457" s="213" t="s">
        <v>13</v>
      </c>
      <c r="J1457" s="220" t="str">
        <f>IF(OR(D1435=0,D1436="　"),"",MID(F1457,3,2))</f>
        <v>1</v>
      </c>
      <c r="K1457" s="214">
        <f>IFERROR(D1435*J1457,"")</f>
        <v>10</v>
      </c>
    </row>
    <row r="1458" spans="2:11" ht="12" customHeight="1">
      <c r="B1458" s="206" t="s">
        <v>5</v>
      </c>
      <c r="C1458" s="207" t="str" cm="1">
        <f t="array" ref="C1458">IF(OR(D1435=0,D1436="　"),"",IF(MID(D1436,4,1)="5","G5"&amp;_xlfn.SWITCH(1*MID(LEFT(D1436, LEN(D1436)-1),6,2),1,"01",2,"02",3,"03",4,"04",5,"07",6,"07",7,"07",8,"09",9,"09",10,"12",11,"12",12,"12"),"G6"&amp;_xlfn.SWITCH(1*MID(LEFT(D1436, LEN(D1436)-1),6,2),1,"01",2,"02",3,"03",4,"04",5,"07",6,"07",7,"07",8,"09",9,"09",10,"12",11,"12",12,"12",13,"14",14,"14"))&amp;"、S45C相当"&amp;IF(MID(D1438,1,3)&lt;&gt;"アルミ","、防食：無電解Niめっき",""))</f>
        <v>G504、S45C相当、防食：無電解Niめっき</v>
      </c>
      <c r="D1458" s="208"/>
      <c r="E1458" s="209"/>
      <c r="F1458" s="217" t="str">
        <f t="shared" si="57"/>
        <v>n=1</v>
      </c>
      <c r="G1458" s="218"/>
      <c r="H1458" s="219"/>
      <c r="I1458" s="213" t="s">
        <v>13</v>
      </c>
      <c r="J1458" s="220" t="str">
        <f>IF(OR(D1435=0,D1436="　"),"",MID(F1458,3,2))</f>
        <v>1</v>
      </c>
      <c r="K1458" s="214">
        <f>IFERROR(D1435*J1458,"")</f>
        <v>10</v>
      </c>
    </row>
    <row r="1459" spans="2:11" ht="12" customHeight="1">
      <c r="B1459" s="206" t="s">
        <v>152</v>
      </c>
      <c r="C1459" s="207" t="str" cm="1">
        <f t="array" ref="C1459">IF(OR(D1435=0,D1436="　"),"",IF(MID(D1436,4,1)="5","G5"&amp;_xlfn.SWITCH(1*MID(LEFT(D1436, LEN(D1436)-1),6,2),1,"01",2,"02",3,"03",4,"04",5,"07",6,"07",7,"07",8,"09",9,"09",10,"12",11,"12",12,"12"),"G6"&amp;_xlfn.SWITCH(1*MID(LEFT(D1436, LEN(D1436)-1),6,2),1,"01",2,"02",3,"03",4,"04",5,"07",6,"07",7,"07",8,"09",9,"09",10,"12",11,"12",12,"12",13,"14",14,"14"))&amp;"、S45C相当"&amp;IF(MID(D1438,1,3)&lt;&gt;"アルミ","、防食：無電解Niめっき",""))</f>
        <v>G504、S45C相当、防食：無電解Niめっき</v>
      </c>
      <c r="D1459" s="208"/>
      <c r="E1459" s="209"/>
      <c r="F1459" s="217" t="str">
        <f t="shared" si="57"/>
        <v>n=1</v>
      </c>
      <c r="G1459" s="218"/>
      <c r="H1459" s="219"/>
      <c r="I1459" s="213" t="s">
        <v>13</v>
      </c>
      <c r="J1459" s="220" t="str">
        <f>IF(OR(D1435=0,D1436="　"),"",MID(F1459,3,2))</f>
        <v>1</v>
      </c>
      <c r="K1459" s="214">
        <f>IFERROR(D1435*J1459,"")</f>
        <v>10</v>
      </c>
    </row>
    <row r="1460" spans="2:11" ht="12" customHeight="1">
      <c r="B1460" s="206" t="s">
        <v>7</v>
      </c>
      <c r="C1460" s="207" t="str">
        <f>IF(OR(D1435=0,D1436="　"),"",IF(1*MID(D1436,4,1)=5,"ECF12.7","ECF15.2")&amp;"、SCM415相当"&amp;IF(MID(D1438,1,3)&lt;&gt;"アルミ","、防食：無電解Niめっき",""))</f>
        <v>ECF12.7、SCM415相当、防食：無電解Niめっき</v>
      </c>
      <c r="D1460" s="208"/>
      <c r="E1460" s="209"/>
      <c r="F1460" s="217" t="str">
        <f t="shared" si="57"/>
        <v>n=1</v>
      </c>
      <c r="G1460" s="218"/>
      <c r="H1460" s="219"/>
      <c r="I1460" s="213" t="s">
        <v>27</v>
      </c>
      <c r="J1460" s="220" t="str">
        <f>IF(OR(D1435=0,D1436="　"),"",MID(F1460,3,2))</f>
        <v>1</v>
      </c>
      <c r="K1460" s="214">
        <f>IFERROR(D1435*J1460,"")</f>
        <v>10</v>
      </c>
    </row>
    <row r="1461" spans="2:11" ht="12" customHeight="1">
      <c r="B1461" s="206" t="s">
        <v>153</v>
      </c>
      <c r="C1461" s="207" t="str" cm="1">
        <f t="array" ref="C1461">IF(OR(D1435=0,D1436="　"),"",IF(MID(D1436,4,1)="5","G5"&amp;_xlfn.SWITCH(1*MID(LEFT(D1436, LEN(D1436)-1),6,2),1,"01",2,"04",3,"03",4,"04",5,"07",6,"07",7,"07",8,"12",9,"12",10,"12",11,"12",12,"12"),"G6"&amp;_xlfn.SWITCH(1*MID(LEFT(D1436, LEN(D1436)-1),6,2),1,"01",2,"02",3,"03",4,"04",5,"07",6,"07",7,"07",8,"12",9,"12",10,"12",11,"12",12,"12",13,"14",14,"14"))&amp;"、SS400相当、防食："&amp;_xlfn.IFS(MID(D1437,1,3)="防食Ⅱ","HDZT77めっき",MID(D1437,5,2)="塩害","ｱﾙﾐﾅｲｽﾞ処理",MID(D1437,5,2)="酸性","重防食処理"))</f>
        <v>G504、SS400相当、防食：HDZT77めっき</v>
      </c>
      <c r="D1461" s="208"/>
      <c r="E1461" s="209"/>
      <c r="F1461" s="217" t="str">
        <f t="shared" si="57"/>
        <v>n=1</v>
      </c>
      <c r="G1461" s="218"/>
      <c r="H1461" s="219"/>
      <c r="I1461" s="213" t="s">
        <v>16</v>
      </c>
      <c r="J1461" s="220" t="str">
        <f>IF(OR(D1435=0,D1436="　"),"",MID(F1461,3,2))</f>
        <v>1</v>
      </c>
      <c r="K1461" s="214">
        <f>IFERROR(D1435*J1461,"")</f>
        <v>10</v>
      </c>
    </row>
    <row r="1462" spans="2:11" ht="12" customHeight="1">
      <c r="B1462" s="206" t="str">
        <f>IF(MID(D1439,1,3)="のり面","管付","")&amp;"支圧板"</f>
        <v>管付支圧板</v>
      </c>
      <c r="C1462" s="221" t="str" cm="1">
        <f t="array" ref="C1462">IF(OR(D1435=0,D1436="　"),"","PL"&amp;IF(MID(D1439,1,3)="のり面","P","")&amp;IF(MID(D1436,4,1)="5","5-"&amp;_xlfn.SWITCH(1*MID(LEFT(D1436, LEN(D1436)-1),6,2),1,"1",2,"2",3,"3",4,"4",5,"5",6,"6",7,"7",8,"9",9,"9",10,"10",11,"11",12,"12"),"6-"&amp;_xlfn.SWITCH(1*MID(LEFT(D1436, LEN(D1436)-1),6,2),1,"1",2,"2",3,"3",4,"4",5,"6",6,"6",7,"7",8,"8",9,"9",10,"10",11,"11",12,"12",13,"14",14,"14"))&amp;"、SS400相当、防食："&amp;_xlfn.IFS(MID(D1437,1,3)="防食Ⅱ","HDZT77めっき",MID(D1437,5,2)="塩害","ｱﾙﾐﾅｲｽﾞ処理",MID(D1437,5,2)="酸性","重防食処理"))</f>
        <v>PLP5-4、SS400相当、防食：HDZT77めっき</v>
      </c>
      <c r="D1462" s="208"/>
      <c r="E1462" s="209"/>
      <c r="F1462" s="217" t="str">
        <f t="shared" si="57"/>
        <v>n=1</v>
      </c>
      <c r="G1462" s="218"/>
      <c r="H1462" s="219"/>
      <c r="I1462" s="213" t="s">
        <v>16</v>
      </c>
      <c r="J1462" s="220" t="str">
        <f>IF(OR(D1435=0,D1436="　"),"",MID(F1462,3,2))</f>
        <v>1</v>
      </c>
      <c r="K1462" s="214">
        <f>IFERROR(D1435*J1462,"")</f>
        <v>10</v>
      </c>
    </row>
    <row r="1463" spans="2:11" ht="12" customHeight="1">
      <c r="B1463" s="206" t="s">
        <v>154</v>
      </c>
      <c r="C1463" s="207" t="str">
        <f>IF(OR(D1435=0,D1436="　"),"","G"&amp;MID(LEFT(D1436, LEN(D1436)-1),4,4)&amp;"、NBR45相当")</f>
        <v>G5-4、NBR45相当</v>
      </c>
      <c r="D1463" s="208"/>
      <c r="E1463" s="209"/>
      <c r="F1463" s="217" t="str">
        <f t="shared" si="57"/>
        <v>n=1</v>
      </c>
      <c r="G1463" s="218"/>
      <c r="H1463" s="219"/>
      <c r="I1463" s="213" t="s">
        <v>13</v>
      </c>
      <c r="J1463" s="220" t="str">
        <f>IF(OR(D1435=0,D1436="　"),"",MID(F1463,3,2))</f>
        <v>1</v>
      </c>
      <c r="K1463" s="214">
        <f>IFERROR(D1435*J1463,"")</f>
        <v>10</v>
      </c>
    </row>
    <row r="1464" spans="2:11" ht="12" customHeight="1">
      <c r="B1464" s="206" t="str" cm="1">
        <f t="array" ref="B1464">_xlfn.IFS(OR(D1435=0,D1436="　"),"",MID(D1438,1,3)="アルミ","頭部防錆油",MID(D1438,1,3)&lt;&gt;"アルミ","余長キャップ")</f>
        <v>余長キャップ</v>
      </c>
      <c r="C1464" s="221" t="str" cm="1">
        <f t="array" ref="C1464">_xlfn.IFS(OR(D1435=0,D1436="　"),"",MID(D1438,1,3)="アルミ","PCコートC",MID(D1438,1,3)&lt;&gt;"アルミ","TC"&amp;MID(D1436,4,1)&amp;"、高密度ポチエチレン")</f>
        <v>TC5、高密度ポチエチレン</v>
      </c>
      <c r="D1464" s="208"/>
      <c r="E1464" s="209"/>
      <c r="F1464" s="217" t="str" cm="1">
        <f t="array" ref="F1464">_xlfn.IFS(OR(D1435=0,D1436="　"),"",MID(D1438,1,3)="アルミ","W="&amp;IF(MID(D1436,4,1)="5",_xlfn.SWITCH(1*MID(LEFT(D1436, LEN(D1436)-1),6,2),1,1.9,2,1.3,3,1.3,4,1.3,5,1.6,6,1.6,7,1.6,8,3.1,9,3.1,10,3.1,11,3.1,12,3.1),"G6"&amp;_xlfn.SWITCH(1*MID(LEFT(D1436, LEN(D1436)-1),6,2),1,1.8,2,1.3,3,1.8,4,1.8,5,3.3,6,3.3,7,3.3,8,9.9,9,9.9,10,9.9,11,9.9,12,9.9,13,9.9,14,9.9)),MID(D1438,1,3)&lt;&gt;"アルミ","n=1")</f>
        <v>n=1</v>
      </c>
      <c r="G1464" s="218"/>
      <c r="H1464" s="219"/>
      <c r="I1464" s="213" t="str" cm="1">
        <f t="array" ref="I1464">_xlfn.IFS(OR(D1435=0,D1436="　"),"",MID(D1438,1,3)="アルミ","kg",MID(D1438,1,3)&lt;&gt;"アルミ","式")</f>
        <v>式</v>
      </c>
      <c r="J1464" s="220" t="str">
        <f>IF(OR(D1435=0,D1436="　"),"",MID(F1464,3,4))</f>
        <v>1</v>
      </c>
      <c r="K1464" s="214">
        <f>IFERROR(D1435*J1464,"")</f>
        <v>10</v>
      </c>
    </row>
    <row r="1465" spans="2:11" ht="12" customHeight="1">
      <c r="B1465" s="206" t="s">
        <v>9</v>
      </c>
      <c r="C1465" s="207" t="str" cm="1">
        <f t="array" ref="C1465">IF(OR(D1435=0,D1436="　"),"",IF(MID(D1436,4,1)="5","PS5-"&amp;_xlfn.SWITCH(1*MID(LEFT(D1436, LEN(D1436)-1),6,2),1,"7",2,"2",3,"3",4,"4",5,"7",6,"7",7,"7",8,"12",9,"12",10,"12",11,"12",12,"12"),"PS6-"&amp;_xlfn.SWITCH(1*MID(LEFT(D1436, LEN(D1436)-1),6,2),1,"7",2,"2",3,"3",4,"4",5,"7",6,"7",7,"7",8,"12",9,"12",10,"12",11,"12",12,"12",13,"14",14,"14"))&amp;"、高密度ポリエチレン")</f>
        <v>PS5-4、高密度ポリエチレン</v>
      </c>
      <c r="D1465" s="208"/>
      <c r="E1465" s="209"/>
      <c r="F1465" s="217" t="str">
        <f>"n=2"</f>
        <v>n=2</v>
      </c>
      <c r="G1465" s="218"/>
      <c r="H1465" s="219"/>
      <c r="I1465" s="213" t="s">
        <v>13</v>
      </c>
      <c r="J1465" s="220" t="str">
        <f>IF(OR(D1435=0,D1436="　"),"",MID(F1465,3,2))</f>
        <v>2</v>
      </c>
      <c r="K1465" s="214">
        <f>IFERROR(D1435*J1465,"")</f>
        <v>20</v>
      </c>
    </row>
    <row r="1466" spans="2:11" ht="12" customHeight="1">
      <c r="B1466" s="206" t="s">
        <v>2</v>
      </c>
      <c r="C1466" s="207" t="str" cm="1">
        <f t="array" ref="C1466">IF(OR(D1435=0,D1436="　"),"",IF(MID(D1436,4,1)="5","S5-"&amp;_xlfn.IFS(1*MID(LEFT(D1436, LEN(D1436)-1),6,2)&lt;6,"5",1*MID(LEFT(D1436, LEN(D1436)-1),6,2)&lt;9,"8",1*MID(LEFT(D1436, LEN(D1436)-1),6,2)&gt;8,"12"),"S6-"&amp;_xlfn.IFS(1*MID(LEFT(D1436, LEN(D1436)-1),6,2)&lt;4,"3",1*MID(LEFT(D1436, LEN(D1436)-1),6,2)&lt;7,"6",1*MID(LEFT(D1436, LEN(D1436)-1),6,2)&lt;10,"9",1*MID(LEFT(D1436, LEN(D1436)-1),6,2)&lt;13,"12",1*MID(LEFT(D1436, LEN(D1436)-1),6,2)&gt;12,"14"))&amp;"、ポリプロピレン")</f>
        <v>S5-5、ポリプロピレン</v>
      </c>
      <c r="D1466" s="208"/>
      <c r="E1466" s="209"/>
      <c r="F1466" s="222" t="s">
        <v>155</v>
      </c>
      <c r="G1466" s="211"/>
      <c r="H1466" s="212"/>
      <c r="I1466" s="213" t="s">
        <v>13</v>
      </c>
      <c r="J1466" s="206">
        <f>IF(OR(D1435=0,D1436="　"),"",MROUND((D1444-0.4)/1,1))</f>
        <v>4</v>
      </c>
      <c r="K1466" s="214">
        <f>IFERROR(D1435*J1466,"")</f>
        <v>40</v>
      </c>
    </row>
    <row r="1467" spans="2:11" ht="12" customHeight="1">
      <c r="B1467" s="206" t="s">
        <v>1</v>
      </c>
      <c r="C1467" s="207" t="str" cm="1">
        <f t="array" ref="C1467">IF(OR(D1435=0,D1436="　"),"",IF(MID(D1436,4,1)="5","PC5-"&amp;_xlfn.IFS(1*MID(LEFT(D1436, LEN(D1436)-1),6,2)&lt;5,"4",1*MID(LEFT(D1436, LEN(D1436)-1),6,2)&lt;8,"7",1*MID(LEFT(D1436, LEN(D1436)-1),6,2)&lt;10,"9",1*MID(LEFT(D1436, LEN(D1436)-1),6,2)&gt;9,"12"),"PC6-"&amp;_xlfn.IFS(1*MID(LEFT(D1436, LEN(D1436)-1),6,2)&lt;4,"3",1*MID(LEFT(D1436, LEN(D1436)-1),6,2)&lt;8,"7",1*MID(LEFT(D1436, LEN(D1436)-1),6,2)&lt;13,"12",1*MID(LEFT(D1436, LEN(D1436)-1),6,2)&gt;12,"14"))&amp;"、ポリプロピレン")</f>
        <v>PC5-4、ポリプロピレン</v>
      </c>
      <c r="D1467" s="208"/>
      <c r="E1467" s="209"/>
      <c r="F1467" s="217" t="str">
        <f>"n=1"</f>
        <v>n=1</v>
      </c>
      <c r="G1467" s="218"/>
      <c r="H1467" s="219"/>
      <c r="I1467" s="213" t="s">
        <v>13</v>
      </c>
      <c r="J1467" s="220" t="str">
        <f>IF(OR(D1435=0,D1436="　"),"",MID(F1467,3,2))</f>
        <v>1</v>
      </c>
      <c r="K1467" s="214">
        <f>IFERROR(D1435*J1467,"")</f>
        <v>10</v>
      </c>
    </row>
    <row r="1468" spans="2:11" ht="12" customHeight="1">
      <c r="B1468" s="206" t="s">
        <v>3</v>
      </c>
      <c r="C1468" s="207" t="str">
        <f>IF(OR(D1435=0,D1436="　"),"","66ナイロン")</f>
        <v>66ナイロン</v>
      </c>
      <c r="D1468" s="208"/>
      <c r="E1468" s="209"/>
      <c r="F1468" s="222" t="s">
        <v>156</v>
      </c>
      <c r="G1468" s="211"/>
      <c r="H1468" s="212"/>
      <c r="I1468" s="213" t="s">
        <v>14</v>
      </c>
      <c r="J1468" s="206">
        <f>IF(OR(D1435=0,D1436="　"),"",2*J1466)</f>
        <v>8</v>
      </c>
      <c r="K1468" s="214">
        <f>IFERROR(D1435*J1468,"")</f>
        <v>80</v>
      </c>
    </row>
    <row r="1469" spans="2:11" ht="12" customHeight="1">
      <c r="B1469" s="206" t="s">
        <v>4</v>
      </c>
      <c r="C1469" s="207" t="str">
        <f>IF(OR(D1435=0,D1436="　"),"","フィラメントテープ")</f>
        <v>フィラメントテープ</v>
      </c>
      <c r="D1469" s="208"/>
      <c r="E1469" s="209"/>
      <c r="F1469" s="222" t="str">
        <f>IF(OR(D1435=0,D1436="　"),"","L=((自由長+緊張部長)÷@1.0m)×テープ係数"&amp;IF(MID(D1436,4,1)="5",_xlfn.IFS(1*MID(LEFT(D1436, LEN(D1436)-1),6,2)&lt;4,"0.8",1*MID(LEFT(D1436, LEN(D1436)-1),6,2)&lt;7,"1.0",1*MID(LEFT(D1436, LEN(D1436)-1),6,2)&lt;10,"1.2",1*MID(LEFT(D1436, LEN(D1436)-1),6,2)&lt;13,"1.4"),_xlfn.IFS(1*MID(LEFT(D1436, LEN(D1436)-1),6,2)&lt;4,"1.0",1*MID(LEFT(D1436, LEN(D1436)-1),6,2)&lt;7,"1.2",1*MID(LEFT(D1436, LEN(D1436)-1),6,2)&lt;10,"1.4",1*MID(LEFT(D1436, LEN(D1436)-1),6,2)&lt;15,"1.8")))</f>
        <v>L=((自由長+緊張部長)÷@1.0m)×テープ係数1.0</v>
      </c>
      <c r="G1469" s="211"/>
      <c r="H1469" s="212"/>
      <c r="I1469" s="213" t="s">
        <v>12</v>
      </c>
      <c r="J1469" s="223">
        <f>IF(OR(D1435=0,D1436="　"),"",MROUND((SUM(D1445,D1446))/1*RIGHT(F1469, 3),0.1))</f>
        <v>5.5</v>
      </c>
      <c r="K1469" s="214">
        <f>IFERROR(D1435*J1469,"")</f>
        <v>55</v>
      </c>
    </row>
    <row r="1470" spans="2:11" ht="12" customHeight="1">
      <c r="B1470" s="206" t="s">
        <v>0</v>
      </c>
      <c r="C1470" s="207" t="str">
        <f>IF(OR(D1435=0,D1436="　"),"","16/20、高密度ポリエチレン")</f>
        <v>16/20、高密度ポリエチレン</v>
      </c>
      <c r="D1470" s="208"/>
      <c r="E1470" s="209"/>
      <c r="F1470" s="210" t="s">
        <v>33</v>
      </c>
      <c r="G1470" s="211"/>
      <c r="H1470" s="212"/>
      <c r="I1470" s="213" t="s">
        <v>12</v>
      </c>
      <c r="J1470" s="214">
        <f>IF(OR(D1435=0,D1436="　"),"",MROUND(D1448,0.1))</f>
        <v>9.7000000000000011</v>
      </c>
      <c r="K1470" s="214">
        <f>IFERROR(D1435*J1470,"")</f>
        <v>97.000000000000014</v>
      </c>
    </row>
    <row r="1471" spans="2:11" ht="12" customHeight="1">
      <c r="B1471" s="206" t="str" cm="1">
        <f t="array" ref="B1471">_xlfn.IFS(OR(D1435=0,D1436="　",MID(D1439,1,2)="なし",MID(D1439,1,3)="受圧体"),"",MID(D1439,1,3)="のり面","のり面角度台座",MID(D1439,1,3)="構造物","構造物壁面台座",MID(D1439,1,3)="土留め","土留め台座")</f>
        <v>のり面角度台座</v>
      </c>
      <c r="C1471" s="210" t="str" cm="1">
        <f t="array" ref="C1471">IF(OR(D1435=0,D1436="　",MID(D1439,1,2)="なし",MID(D1439,1,3)="受圧体"),"",_xlfn.IFS(MID(D1439,1,3)="のり面",IF(1*MID(D1436,4,1)=5,_xlfn.IFS(1*MID(LEFT(D1436, LEN(D1436)-1),6,2)&lt;5,"ST140",1*MID(LEFT(D1436, LEN(D1436)-1),6,2)&lt;8,"ST170",1*MID(LEFT(D1436, LEN(D1436)-1),6,2)&lt;13,"ST220"),_xlfn.IFS(1*MID(LEFT(D1436, LEN(D1436)-1),6,2)&lt;4,"ST140",1*MID(LEFT(D1436, LEN(D1436)-1),6,2)&lt;5,"ST170",1*MID(LEFT(D1436, LEN(D1436)-1),6,2)&lt;8,"ST220",1*MID(LEFT(D1436, LEN(D1436)-1),6,2)&lt;15,"非該当"))&amp;"、FCD450相当、防食："&amp;_xlfn.IFS(MID(D1437,1,3)="防食Ⅱ","HDZT77めっき",MID(D1437,5,2)="塩害","ｱﾙﾐﾅｲｽﾞ処理",MID(D1437,5,2)="酸性","重防食処理"),OR(MID(D1439,1,3)="構造物",MID(D1439,1,3)="土留め"),D1436&amp;"用"&amp;IF(OR(MID(D1439,1,3)="構造物",D1440="　"),"",D1440)&amp;"、防食："&amp;_xlfn.IFS(MID(D1437,1,3)="防食Ⅱ","HDZT77めっき",MID(D1437,5,2)="塩害","ｱﾙﾐﾅｲｽﾞ処理",MID(D1437,5,2)="酸性","重防食処理")))</f>
        <v>ST140、FCD450相当、防食：HDZT77めっき</v>
      </c>
      <c r="D1471" s="208"/>
      <c r="E1471" s="209"/>
      <c r="F1471" s="217" t="str">
        <f>IF(OR(D1439="なし",D1439="受圧体のみ"),"","n=1")</f>
        <v>n=1</v>
      </c>
      <c r="G1471" s="218"/>
      <c r="H1471" s="219"/>
      <c r="I1471" s="213" t="str">
        <f>IF(OR(D1435=0,D1436="　",B1471=""),"","台")</f>
        <v>台</v>
      </c>
      <c r="J1471" s="220" t="str">
        <f>IF(OR(D1435=0,D1436="　"),"",MID(F1471,3,2))</f>
        <v>1</v>
      </c>
      <c r="K1471" s="214">
        <f>IFERROR(D1435*J1471,"")</f>
        <v>10</v>
      </c>
    </row>
    <row r="1472" spans="2:11" ht="12" customHeight="1">
      <c r="B1472" s="206" t="str">
        <f>IF(OR(D1435=0,D1436="　",MID(D1439,1,3)&lt;&gt;"のり面"),"","補剛板")</f>
        <v>補剛板</v>
      </c>
      <c r="C1472" s="210" t="str" cm="1">
        <f t="array" ref="C1472">IF(OR(D1435=0,D1436="　",MID(D1439,1,3)&lt;&gt;"のり面"),"",IF(MID(D1436,4,1)="5","□"&amp;_xlfn.SWITCH(1*MID(LEFT(D1436, LEN(D1436)-1),6,2),1,"210φ131t12",2,"210φ131t12",3,"240φ131t12",4,"270φ131t12",5,"280φ143t12",6,"310φ143t16",7,"350φ143t19",8,"350φ180t19",9,"350φ180t19",10,"350φ180t19",11,"350φ180t22",12,"350φ180t22"),"□"&amp;_xlfn.SWITCH(1*MID(LEFT(D1436, LEN(D1436)-1),6,2),1,"210,φ131,t12",2,"240,φ131,t12",3,"270,φ131,t16",4,"300,φ143,t16",5,"350,φ180,t16",6,"350,φ180,t16",7,"350,φ180,t19",8,"400,φ──,t12",9,"400,φ──,t12",10,"400,φ──,t12",11,"400,φ──,t12",12,"400,φ──,t12",13,"400,φ──,t12",14,"400,φ──,t12"))&amp;"、SS400相当、防食："&amp;_xlfn.IFS(MID(D1437,1,3)="防食Ⅱ","HDZT77めっき",MID(D1437,5,2)="塩害","ｱﾙﾐﾅｲｽﾞ処理",MID(D1437,5,2)="酸性","重防食処理"))</f>
        <v>□270φ131t12、SS400相当、防食：HDZT77めっき</v>
      </c>
      <c r="D1472" s="208"/>
      <c r="E1472" s="209"/>
      <c r="F1472" s="217" t="str">
        <f>IF(OR(D1435=0,D1436="　",MID(D1439,1,3)&lt;&gt;"のり面"),"","n=1")</f>
        <v>n=1</v>
      </c>
      <c r="G1472" s="218"/>
      <c r="H1472" s="219"/>
      <c r="I1472" s="213" t="str">
        <f>IF(OR(D1435=0,D1436="　",B1472="",MID(D1439,1,3)&lt;&gt;"のり面"),"","枚")</f>
        <v>枚</v>
      </c>
      <c r="J1472" s="220" t="str">
        <f>IF(OR(D1435=0,D1436="　"),"",MID(F1472,3,2))</f>
        <v>1</v>
      </c>
      <c r="K1472" s="214">
        <f>IFERROR(D1435*J1472,"")</f>
        <v>10</v>
      </c>
    </row>
    <row r="1473" spans="2:11" ht="12" customHeight="1">
      <c r="B1473" s="206" t="str" cm="1">
        <f t="array" ref="B1473">_xlfn.IFS(OR(D1435=0,D1436="　"),"",MID(D1438,1,3)="アルミ","",MID(D1438,1,3)&lt;&gt;"アルミ","テンドン補修用塗料")</f>
        <v>テンドン補修用塗料</v>
      </c>
      <c r="C1473" s="210" t="str" cm="1">
        <f t="array" ref="C1473">_xlfn.IFS(OR(D1435=0,D1436="　"),"",MID(D1438,1,3)="アルミ","",MID(D1438,1,3)&lt;&gt;"アルミ","エポキシ樹脂")</f>
        <v>エポキシ樹脂</v>
      </c>
      <c r="D1473" s="208"/>
      <c r="E1473" s="209"/>
      <c r="F1473" s="217" t="str" cm="1">
        <f t="array" ref="F1473">_xlfn.IFS(OR(D1435=0,D1436="　"),"",MID(D1438,1,3)="アルミ","",MID(D1438,1,3)&lt;&gt;"アルミ","W=PC鋼より線本数×"&amp;IF(MID(D1436,4,1)="5","0.28","0.40"))</f>
        <v>W=PC鋼より線本数×0.28</v>
      </c>
      <c r="G1473" s="218"/>
      <c r="H1473" s="219"/>
      <c r="I1473" s="213" t="str" cm="1">
        <f t="array" ref="I1473">_xlfn.IFS(OR(D1435=0,D1436="　"),"",MID(D1438,1,3)="アルミ","",MID(D1438,1,3)&lt;&gt;"アルミ","g")</f>
        <v>g</v>
      </c>
      <c r="J1473" s="224" cm="1">
        <f t="array" ref="J1473">_xlfn.IFS(OR(D1435=0,D1436="　"),"",MID(D1438,1,3)="アルミ","",MID(D1438,1,3)&lt;&gt;"アルミ",MID(LEFT(D1436, LEN(D1436)-1),6,2)*IF(MID(D1436,4,1)="5",0.28,0.4))</f>
        <v>1.1200000000000001</v>
      </c>
      <c r="K1473" s="214">
        <f>IFERROR(D1435*J1473,"")</f>
        <v>11.200000000000001</v>
      </c>
    </row>
    <row r="1474" spans="2:11" ht="12" customHeight="1">
      <c r="B1474" s="206" t="str" cm="1">
        <f t="array" ref="B1474">_xlfn.IFS(OR(D1435=0,D1436="　"),"",MID(D1438,1,3)="アルミ","",MID(D1438,1,3)&lt;&gt;"アルミ","長期防錆スプレー")</f>
        <v>長期防錆スプレー</v>
      </c>
      <c r="C1474" s="210" t="str" cm="1">
        <f t="array" ref="C1474">_xlfn.IFS(OR(D1435=0,D1436="　"),"",MID(D1438,1,3)="アルミ","",MID(D1438,1,3)&lt;&gt;"アルミ","防錆オイル")</f>
        <v>防錆オイル</v>
      </c>
      <c r="D1474" s="208"/>
      <c r="E1474" s="209"/>
      <c r="F1474" s="217" t="str" cm="1">
        <f t="array" ref="F1474">_xlfn.IFS(OR(D1435=0,D1436="　"),"",MID(D1438,1,3)="アルミ","",MID(D1438,1,3)&lt;&gt;"アルミ","n=0.01×(PC鋼より線本数+"&amp;IF(MID(D1436,4,1)="5","6","12")&amp;")")</f>
        <v>n=0.01×(PC鋼より線本数+6)</v>
      </c>
      <c r="G1474" s="218"/>
      <c r="H1474" s="219"/>
      <c r="I1474" s="213" t="str" cm="1">
        <f t="array" ref="I1474">_xlfn.IFS(OR(D1435=0,D1436="　"),"",MID(D1438,1,3)="アルミ","",MID(D1438,1,3)&lt;&gt;"アルミ","缶")</f>
        <v>缶</v>
      </c>
      <c r="J1474" s="224" cm="1">
        <f t="array" ref="J1474">_xlfn.IFS(OR(D1435=0,D1436="　"),"",MID(D1438,1,3)="アルミ","",MID(D1438,1,3)&lt;&gt;"アルミ",0.01*(MID(LEFT(D1436, LEN(D1436)-1),6,2)+IF(MID(D1436,4,1)="5",6,12)))</f>
        <v>0.1</v>
      </c>
      <c r="K1474" s="214">
        <f>IFERROR(D1435*J1474,"")</f>
        <v>1</v>
      </c>
    </row>
    <row r="1475" spans="2:11" ht="12" customHeight="1">
      <c r="B1475" s="206" t="str">
        <f>IF(OR(D1435=0,D1436="　",D1441="なし"),"","フリーパッカー注入ホース")</f>
        <v/>
      </c>
      <c r="C1475" s="207" t="str">
        <f>IF(OR(D1435=0,D1436="　",B1475=""),"","16/20、高密度ポリエチレン")</f>
        <v/>
      </c>
      <c r="D1475" s="208"/>
      <c r="E1475" s="209"/>
      <c r="F1475" s="210" t="str">
        <f>IF(B1475="","","L=自由長+緊張部長")</f>
        <v/>
      </c>
      <c r="G1475" s="211"/>
      <c r="H1475" s="212"/>
      <c r="I1475" s="213" t="str">
        <f>IF(OR(D1435=0,D1436="　",B1475=""),"","m")</f>
        <v/>
      </c>
      <c r="J1475" s="214" t="str">
        <f>IF(OR(D1435=0,D1436="　"),"",IF(B1475="","",MROUND(D1445+D1446,0.1)))</f>
        <v/>
      </c>
      <c r="K1475" s="214" t="str">
        <f>IFERROR(D1435*J1475,"")</f>
        <v/>
      </c>
    </row>
    <row r="1476" spans="2:11" ht="12" customHeight="1">
      <c r="B1476" s="225" t="str">
        <f>IF(OR(D1435=0,D1436="　",D1441="なし"),"","フリーパッカー")</f>
        <v/>
      </c>
      <c r="C1476" s="217" t="str" cm="1">
        <f t="array" ref="C1476">IF(OR(D1435=0,D1436="　",B1475=""),"",_xlfn.SWITCH(D1450,90,"PA-170",115,"PA-200",135,"PA-240",146,"PA-240",165,"PA-350")&amp;"、織布")</f>
        <v/>
      </c>
      <c r="D1476" s="208"/>
      <c r="E1476" s="209"/>
      <c r="F1476" s="226" t="str">
        <f>IF(B1476="","","L=自由長+0.5m")</f>
        <v/>
      </c>
      <c r="G1476" s="227"/>
      <c r="H1476" s="228"/>
      <c r="I1476" s="213" t="str">
        <f>IF(OR(D1436=0,D1437="　",B1476=""),"","m")</f>
        <v/>
      </c>
      <c r="J1476" s="214" t="str">
        <f>IF(OR(D1435=0,D1436="　"),"",IF(B1476="","",MROUND(D1445+0.5,0.1)))</f>
        <v/>
      </c>
      <c r="K1476" s="214" t="str">
        <f>IFERROR(D1435*J1476,"")</f>
        <v/>
      </c>
    </row>
    <row r="1477" spans="2:11" ht="12" customHeight="1">
      <c r="B1477" s="206" t="str">
        <f>IF(OR(D1435=0,D1436="　",D1441="なし"),"","パッカー取付加工")</f>
        <v/>
      </c>
      <c r="C1477" s="207"/>
      <c r="D1477" s="208"/>
      <c r="E1477" s="209"/>
      <c r="F1477" s="217" t="str">
        <f>IF(B1477="","","n=1")</f>
        <v/>
      </c>
      <c r="G1477" s="218"/>
      <c r="H1477" s="219"/>
      <c r="I1477" s="213" t="str">
        <f>IF(OR(D1437=0,D1438="　",B1477=""),"","式")</f>
        <v/>
      </c>
      <c r="J1477" s="220" t="str">
        <f>IF(OR(D1435=0,D1436="　"),"",MID(F1477,3,2))</f>
        <v/>
      </c>
      <c r="K1477" s="206" t="str">
        <f>IFERROR(D1435*J1477,"")</f>
        <v/>
      </c>
    </row>
    <row r="1478" spans="2:11" ht="12" customHeight="1">
      <c r="B1478" s="229"/>
      <c r="C1478" s="230"/>
      <c r="D1478" s="231"/>
      <c r="E1478" s="232"/>
      <c r="F1478" s="233"/>
      <c r="G1478" s="234"/>
      <c r="H1478" s="235"/>
      <c r="I1478" s="236"/>
      <c r="J1478" s="237"/>
      <c r="K1478" s="229"/>
    </row>
    <row r="1479" spans="2:11" ht="12" customHeight="1">
      <c r="B1479" s="238" t="s">
        <v>30</v>
      </c>
      <c r="C1479" s="239" t="s">
        <v>31</v>
      </c>
      <c r="D1479" s="240"/>
      <c r="E1479" s="241"/>
      <c r="F1479" s="242" t="s">
        <v>157</v>
      </c>
      <c r="G1479" s="243"/>
      <c r="H1479" s="244"/>
      <c r="I1479" s="245" t="s">
        <v>55</v>
      </c>
      <c r="J1479" s="246">
        <f>IFERROR(MROUND(0.25*PI()*(0.001*D1450)^2*(D1443+D1444+D1449)*(1+2.2),0.01),"")</f>
        <v>0.17</v>
      </c>
      <c r="K1479" s="246">
        <f>IFERROR(D1435*J1479,"")</f>
        <v>1.7000000000000002</v>
      </c>
    </row>
    <row r="1481" spans="2:11" ht="12" customHeight="1">
      <c r="B1481" s="247" t="s">
        <v>136</v>
      </c>
      <c r="C1481" s="247"/>
      <c r="D1481" s="247"/>
      <c r="F1481" s="163"/>
      <c r="G1481" s="164"/>
      <c r="H1481" s="164"/>
    </row>
    <row r="1482" spans="2:11" ht="12" customHeight="1">
      <c r="B1482" s="15" t="s">
        <v>111</v>
      </c>
      <c r="C1482" s="15"/>
      <c r="D1482" s="1"/>
      <c r="E1482" s="1"/>
      <c r="H1482" s="119"/>
      <c r="J1482" s="118"/>
    </row>
    <row r="1483" spans="2:11" ht="12" customHeight="1">
      <c r="B1483" s="165" t="s">
        <v>166</v>
      </c>
      <c r="C1483" s="3"/>
      <c r="D1483" s="1"/>
      <c r="E1483" s="1"/>
      <c r="F1483" s="8"/>
      <c r="G1483" s="8"/>
      <c r="H1483" s="102"/>
      <c r="I1483" s="28"/>
      <c r="J1483" s="118"/>
    </row>
    <row r="1484" spans="2:11" ht="12" customHeight="1">
      <c r="B1484" s="15" t="s">
        <v>40</v>
      </c>
      <c r="C1484" s="3"/>
      <c r="D1484" s="1"/>
      <c r="E1484" s="1"/>
      <c r="F1484" s="15" t="s">
        <v>54</v>
      </c>
      <c r="G1484" s="15"/>
      <c r="H1484" s="102"/>
      <c r="I1484" s="28"/>
    </row>
    <row r="1485" spans="2:11" ht="12" customHeight="1">
      <c r="B1485" s="2" t="s">
        <v>53</v>
      </c>
      <c r="C1485" s="2" t="s">
        <v>21</v>
      </c>
      <c r="D1485" s="2" t="s">
        <v>22</v>
      </c>
      <c r="E1485" s="17"/>
      <c r="F1485" s="49" t="s">
        <v>41</v>
      </c>
      <c r="G1485" s="97" t="s">
        <v>59</v>
      </c>
      <c r="H1485" s="49" t="s">
        <v>44</v>
      </c>
      <c r="I1485" s="2" t="s">
        <v>21</v>
      </c>
      <c r="J1485" s="49" t="s">
        <v>138</v>
      </c>
      <c r="K1485" s="2" t="s">
        <v>28</v>
      </c>
    </row>
    <row r="1486" spans="2:11" ht="12" customHeight="1">
      <c r="B1486" s="166" t="s">
        <v>25</v>
      </c>
      <c r="C1486" s="18" t="s">
        <v>24</v>
      </c>
      <c r="D1486" s="167">
        <v>10</v>
      </c>
      <c r="E1486" s="19"/>
      <c r="F1486" s="168" t="s">
        <v>43</v>
      </c>
      <c r="G1486" s="169" t="s">
        <v>113</v>
      </c>
      <c r="H1486" s="88" t="str" cm="1">
        <f t="array" ref="H1486">_xlfn.IFS(AND(F1486&lt;&gt;"非削孔",F1486&lt;&gt;"無設定"),D1501,F1486="非削孔",IF(MID(D1490,1,3)="土留め","非削孔","箱抜き"),F1486="無設定","無設定")</f>
        <v>箱抜き</v>
      </c>
      <c r="I1486" s="23" t="str">
        <f>IF(F1486="無設定","","m")</f>
        <v>m</v>
      </c>
      <c r="J1486" s="170">
        <v>0.5</v>
      </c>
      <c r="K1486" s="30">
        <f>D1486*J1486</f>
        <v>5</v>
      </c>
    </row>
    <row r="1487" spans="2:11" ht="12" customHeight="1">
      <c r="B1487" s="171" t="s">
        <v>37</v>
      </c>
      <c r="C1487" s="50" t="s">
        <v>38</v>
      </c>
      <c r="D1487" s="172" t="s">
        <v>159</v>
      </c>
      <c r="E1487" s="173"/>
      <c r="F1487" s="174" t="s">
        <v>49</v>
      </c>
      <c r="G1487" s="169" t="s">
        <v>114</v>
      </c>
      <c r="H1487" s="88" cm="1">
        <f t="array" ref="H1487">_xlfn.IFS(AND(F1487&lt;&gt;"非削孔",F1487&lt;&gt;"無設定"),D1501,F1487="非削孔","箱抜き",F1487="無設定","無設定")</f>
        <v>90</v>
      </c>
      <c r="I1487" s="23" t="str">
        <f t="shared" ref="I1487:I1495" si="58">IF(F1487="無設定","","m")</f>
        <v>m</v>
      </c>
      <c r="J1487" s="170">
        <v>2.64</v>
      </c>
      <c r="K1487" s="30">
        <f>D1486*J1487</f>
        <v>26.400000000000002</v>
      </c>
    </row>
    <row r="1488" spans="2:11" ht="12" customHeight="1">
      <c r="B1488" s="52" t="s">
        <v>39</v>
      </c>
      <c r="C1488" s="91" t="s">
        <v>38</v>
      </c>
      <c r="D1488" s="175" t="s">
        <v>60</v>
      </c>
      <c r="E1488" s="140"/>
      <c r="F1488" s="174" t="s">
        <v>49</v>
      </c>
      <c r="G1488" s="169" t="s">
        <v>115</v>
      </c>
      <c r="H1488" s="88" cm="1">
        <f t="array" ref="H1488">_xlfn.IFS(AND(F1488&lt;&gt;"非削孔",F1488&lt;&gt;"無設定"),D1501,F1488="非削孔","箱抜き",F1488="無設定","無設定")</f>
        <v>90</v>
      </c>
      <c r="I1488" s="23" t="str">
        <f t="shared" si="58"/>
        <v>m</v>
      </c>
      <c r="J1488" s="170">
        <v>5.36</v>
      </c>
      <c r="K1488" s="30">
        <f>D1486*J1488</f>
        <v>53.6</v>
      </c>
    </row>
    <row r="1489" spans="2:11" ht="12" customHeight="1">
      <c r="B1489" s="147" t="s">
        <v>140</v>
      </c>
      <c r="C1489" s="91" t="s">
        <v>38</v>
      </c>
      <c r="D1489" s="176" t="s">
        <v>141</v>
      </c>
      <c r="E1489" s="141"/>
      <c r="F1489" s="174" t="s">
        <v>48</v>
      </c>
      <c r="G1489" s="169"/>
      <c r="H1489" s="88" t="str" cm="1">
        <f t="array" ref="H1489">_xlfn.IFS(AND(F1489&lt;&gt;"非削孔",F1489&lt;&gt;"無設定"),D1501,F1489="非削孔","箱抜き",F1489="無設定","無設定")</f>
        <v>無設定</v>
      </c>
      <c r="I1489" s="23" t="str">
        <f t="shared" si="58"/>
        <v/>
      </c>
      <c r="J1489" s="170">
        <v>0</v>
      </c>
      <c r="K1489" s="30">
        <f>D1486*J1489</f>
        <v>0</v>
      </c>
    </row>
    <row r="1490" spans="2:11" ht="12" customHeight="1">
      <c r="B1490" s="147" t="s">
        <v>142</v>
      </c>
      <c r="C1490" s="91" t="s">
        <v>38</v>
      </c>
      <c r="D1490" s="177" t="s">
        <v>160</v>
      </c>
      <c r="E1490" s="21"/>
      <c r="F1490" s="174" t="s">
        <v>48</v>
      </c>
      <c r="G1490" s="169"/>
      <c r="H1490" s="88" t="str" cm="1">
        <f t="array" ref="H1490">_xlfn.IFS(AND(F1490&lt;&gt;"非削孔",F1490&lt;&gt;"無設定"),D1501,F1490="非削孔","箱抜き",F1490="無設定","無設定")</f>
        <v>無設定</v>
      </c>
      <c r="I1490" s="23" t="str">
        <f t="shared" si="58"/>
        <v/>
      </c>
      <c r="J1490" s="170">
        <v>0</v>
      </c>
      <c r="K1490" s="30">
        <f>D1486*J1490</f>
        <v>0</v>
      </c>
    </row>
    <row r="1491" spans="2:11" ht="12" customHeight="1">
      <c r="B1491" s="114" t="str">
        <f>IF(MID(D1490,1,3)="土留め",D1490&amp;"の種類","")</f>
        <v/>
      </c>
      <c r="C1491" s="91" t="s">
        <v>38</v>
      </c>
      <c r="D1491" s="178" t="s">
        <v>71</v>
      </c>
      <c r="E1491" s="21"/>
      <c r="F1491" s="174" t="s">
        <v>48</v>
      </c>
      <c r="G1491" s="169"/>
      <c r="H1491" s="88" t="str" cm="1">
        <f t="array" ref="H1491">_xlfn.IFS(AND(F1491&lt;&gt;"非削孔",F1491&lt;&gt;"無設定"),D1501,F1491="非削孔","箱抜き",F1491="無設定","無設定")</f>
        <v>無設定</v>
      </c>
      <c r="I1491" s="23" t="str">
        <f t="shared" si="58"/>
        <v/>
      </c>
      <c r="J1491" s="170">
        <v>0</v>
      </c>
      <c r="K1491" s="30">
        <f>D1486*J1491</f>
        <v>0</v>
      </c>
    </row>
    <row r="1492" spans="2:11" ht="12" customHeight="1">
      <c r="B1492" s="179" t="s">
        <v>50</v>
      </c>
      <c r="C1492" s="180" t="s">
        <v>38</v>
      </c>
      <c r="D1492" s="181" t="s">
        <v>51</v>
      </c>
      <c r="E1492" s="182"/>
      <c r="F1492" s="174" t="s">
        <v>48</v>
      </c>
      <c r="G1492" s="169"/>
      <c r="H1492" s="88" t="str" cm="1">
        <f t="array" ref="H1492">_xlfn.IFS(AND(F1492&lt;&gt;"非削孔",F1492&lt;&gt;"無設定"),D1501,F1492="非削孔","箱抜き",F1492="無設定","無設定")</f>
        <v>無設定</v>
      </c>
      <c r="I1492" s="23" t="str">
        <f t="shared" si="58"/>
        <v/>
      </c>
      <c r="J1492" s="170">
        <v>0</v>
      </c>
      <c r="K1492" s="30">
        <f>D1486*J1492</f>
        <v>0</v>
      </c>
    </row>
    <row r="1493" spans="2:11" ht="12" customHeight="1">
      <c r="B1493" s="160" t="str" cm="1">
        <f t="array" ref="B1493">"頭部自由長"&amp;_xlfn.IFS(MID(D1490,1,2)="なし","",MID(D1490,1,3)="受圧体","(受圧体)",MID(D1490,1,3)="のり面","(角度台座＋受圧体)",MID(D1490,1,3)="構造物","(壁面台座)",MID(D1490,1,3)="土留め","(台座+腹起し)")&amp;"　Lfh"</f>
        <v>頭部自由長(角度台座＋受圧体)　Lfh</v>
      </c>
      <c r="C1493" s="155" t="s">
        <v>23</v>
      </c>
      <c r="D1493" s="183">
        <v>0.5</v>
      </c>
      <c r="E1493" s="21"/>
      <c r="F1493" s="174" t="s">
        <v>144</v>
      </c>
      <c r="G1493" s="169"/>
      <c r="H1493" s="88" cm="1">
        <f t="array" ref="H1493">_xlfn.IFS(AND(F1493&lt;&gt;"非削孔",F1493&lt;&gt;"無設定"),D1501,F1493="非削孔","箱抜き",F1493="無設定","無設定")</f>
        <v>90</v>
      </c>
      <c r="I1493" s="23" t="str">
        <f t="shared" si="58"/>
        <v>m</v>
      </c>
      <c r="J1493" s="170">
        <v>0</v>
      </c>
      <c r="K1493" s="30">
        <f>D1486*J1493</f>
        <v>0</v>
      </c>
    </row>
    <row r="1494" spans="2:11" ht="12" customHeight="1">
      <c r="B1494" s="22" t="s">
        <v>108</v>
      </c>
      <c r="C1494" s="23" t="s">
        <v>23</v>
      </c>
      <c r="D1494" s="184">
        <v>4</v>
      </c>
      <c r="E1494" s="21"/>
      <c r="F1494" s="174" t="s">
        <v>48</v>
      </c>
      <c r="G1494" s="169"/>
      <c r="H1494" s="88" t="str" cm="1">
        <f t="array" ref="H1494">_xlfn.IFS(AND(F1494&lt;&gt;"非削孔",F1494&lt;&gt;"無設定"),D1501,F1494="非削孔","箱抜き",F1494="無設定","無設定")</f>
        <v>無設定</v>
      </c>
      <c r="I1494" s="23" t="str">
        <f t="shared" si="58"/>
        <v/>
      </c>
      <c r="J1494" s="170">
        <v>0</v>
      </c>
      <c r="K1494" s="30">
        <f>D1486*J1494</f>
        <v>0</v>
      </c>
    </row>
    <row r="1495" spans="2:11" ht="12" customHeight="1">
      <c r="B1495" s="157" t="s">
        <v>36</v>
      </c>
      <c r="C1495" s="158" t="s">
        <v>23</v>
      </c>
      <c r="D1495" s="185">
        <v>4</v>
      </c>
      <c r="F1495" s="186" t="str" cm="1">
        <f t="array" ref="F1495">INDEX(F1486:H1494,MATCH("無設定",F1486:F1494,0)-1,MATCH(F1485,F1485:H1485,0))</f>
        <v>軟　岩</v>
      </c>
      <c r="G1495" s="100" t="str" cm="1">
        <f t="array" ref="G1495">INDEX(F1486:H1494,MATCH("無設定",F1486:F1494,0)-1,MATCH(G1485,F1485:H1485,0))&amp;"　(先端長 L2d)"</f>
        <v>風化岩 CL　(先端長 L2d)</v>
      </c>
      <c r="H1495" s="88" cm="1">
        <f t="array" ref="H1495">INDEX(F1486:H1494,MATCH("無設定",F1486:F1494,0)-1,MATCH(H1485,F1485:H1485,0))</f>
        <v>90</v>
      </c>
      <c r="I1495" s="23" t="str">
        <f t="shared" si="58"/>
        <v>m</v>
      </c>
      <c r="J1495" s="98">
        <f>D1500</f>
        <v>0.25</v>
      </c>
      <c r="K1495" s="78">
        <f>IFERROR(D1486*J1495,"")</f>
        <v>2.5</v>
      </c>
    </row>
    <row r="1496" spans="2:11" ht="12" customHeight="1">
      <c r="B1496" s="154" t="s">
        <v>145</v>
      </c>
      <c r="C1496" s="155" t="s">
        <v>23</v>
      </c>
      <c r="D1496" s="187">
        <f>IF(OR(D1486=0,D1487="　"),"──",SUM(D1493:D1494))</f>
        <v>4.5</v>
      </c>
      <c r="E1496" s="19"/>
      <c r="F1496" s="188"/>
      <c r="G1496" s="75" t="s">
        <v>124</v>
      </c>
      <c r="H1496" s="103"/>
      <c r="I1496" s="18" t="s">
        <v>23</v>
      </c>
      <c r="J1496" s="74">
        <f>SUMIFS(J1486:J1495,F1486:F1495,"&lt;&gt;非削孔",F1486:F1495,"&lt;&gt;無設定")</f>
        <v>8.25</v>
      </c>
      <c r="K1496" s="95">
        <f>SUMIFS(K1486:K1495,F1486:F1495,"&lt;&gt;非削孔",F1486:F1495,"&lt;&gt;無設定")</f>
        <v>82.5</v>
      </c>
    </row>
    <row r="1497" spans="2:11" ht="12" customHeight="1">
      <c r="B1497" s="146" t="s">
        <v>146</v>
      </c>
      <c r="C1497" s="23" t="s">
        <v>23</v>
      </c>
      <c r="D1497" s="189" cm="1">
        <f t="array" ref="D1497">IF(OR(D1486=0,D1487="　"),"──",IF(MID(D1487,4,1)="5",_xlfn.IFS(1*MID(LEFT(D1487, LEN(D1487)-1),6,2)&lt;8,1,1*MID(LEFT(D1487, LEN(D1487)-1),6,2)&lt;13,1.2),_xlfn.IFS(1*MID(LEFT(D1487, LEN(D1487)-1),6,2)&lt;6,1,1*MID(LEFT(D1487, LEN(D1487)-1),6,2)&lt;15,1.2)))</f>
        <v>1</v>
      </c>
      <c r="E1497" s="19"/>
      <c r="F1497" s="190"/>
      <c r="G1497" s="76" t="s">
        <v>47</v>
      </c>
      <c r="H1497" s="104"/>
      <c r="I1497" s="79" t="s">
        <v>46</v>
      </c>
      <c r="J1497" s="77" t="str">
        <f>IF(OR(D1486=0,D1487="　"),"",IF(SUM(D1494:D1495,D1500)=J1496,"OK","NG"))</f>
        <v>OK</v>
      </c>
      <c r="K1497" s="145" t="str">
        <f>IF(J1497&lt;&gt;"NG","──",J1496-SUM(D1494:D1495,D1500))</f>
        <v>──</v>
      </c>
    </row>
    <row r="1498" spans="2:11" ht="12" customHeight="1">
      <c r="B1498" s="22" t="s">
        <v>125</v>
      </c>
      <c r="C1498" s="23" t="s">
        <v>35</v>
      </c>
      <c r="D1498" s="84">
        <f>IF(OR(D1486=0,D1487="　"),"──",0.2)</f>
        <v>0.2</v>
      </c>
      <c r="F1498" s="191" t="s">
        <v>58</v>
      </c>
      <c r="G1498" s="248" t="s">
        <v>110</v>
      </c>
      <c r="H1498" s="249"/>
      <c r="I1498" s="249"/>
      <c r="J1498" s="249"/>
      <c r="K1498" s="250"/>
    </row>
    <row r="1499" spans="2:11" ht="12" customHeight="1">
      <c r="B1499" s="6" t="s">
        <v>147</v>
      </c>
      <c r="C1499" s="23" t="s">
        <v>23</v>
      </c>
      <c r="D1499" s="60">
        <f>IF(OR(D1486=0,D1487="　"),"──",SUM(D1495:D1498))</f>
        <v>9.6999999999999993</v>
      </c>
    </row>
    <row r="1500" spans="2:11" ht="12" customHeight="1">
      <c r="B1500" s="25" t="s">
        <v>127</v>
      </c>
      <c r="C1500" s="26" t="s">
        <v>23</v>
      </c>
      <c r="D1500" s="27">
        <f>IF(OR(D1486=0,D1487="　"),"──",0.25)</f>
        <v>0.25</v>
      </c>
      <c r="F1500" s="8"/>
      <c r="G1500" s="8"/>
      <c r="H1500" s="102"/>
    </row>
    <row r="1501" spans="2:11" ht="12" customHeight="1">
      <c r="B1501" s="95" t="s">
        <v>123</v>
      </c>
      <c r="C1501" s="18" t="s">
        <v>32</v>
      </c>
      <c r="D1501" s="192">
        <v>90</v>
      </c>
      <c r="E1501" s="193" t="str">
        <f>IF(D1501&lt;D1502,"NG：削孔径不適合","")</f>
        <v/>
      </c>
      <c r="F1501" s="8"/>
      <c r="G1501" s="8"/>
      <c r="H1501" s="102"/>
    </row>
    <row r="1502" spans="2:11" ht="12" customHeight="1">
      <c r="B1502" s="25" t="s">
        <v>122</v>
      </c>
      <c r="C1502" s="26" t="s">
        <v>32</v>
      </c>
      <c r="D1502" s="194" cm="1">
        <f t="array" ref="D1502">IF(OR(D1486=0,D1487="　"),"──",IF(D1492="なし",IF(MID(D1487,4,1)="5",_xlfn.IFS(1*MID(LEFT(D1487, LEN(D1487)-1),6,2)&lt;6,90,1*MID(LEFT(D1487, LEN(D1487)-1),6,2)&lt;9,115,1*MID(LEFT(D1487, LEN(D1487)-1),6,2)&gt;8,135),_xlfn.IFS(1*MID(LEFT(D1487, LEN(D1487)-1),6,2)&lt;4,90,1*MID(LEFT(D1487, LEN(D1487)-1),6,2)&lt;7,115,1*MID(LEFT(D1487, LEN(D1487)-1),6,2)&lt;10,135,1*MID(LEFT(D1487, LEN(D1487)-1),6,2)&lt;13,146,1*MID(LEFT(D1487, LEN(D1487)-1),6,2)&gt;12,165)),IF(MID(D1487,4,1)="5",_xlfn.IFS(1*MID(LEFT(D1487, LEN(D1487)-1),6,2)&lt;3,90,1*MID(LEFT(D1487, LEN(D1487)-1),6,2)&lt;7,115,1*MID(LEFT(D1487, LEN(D1487)-1),6,2)&lt;9,135,1*MID(LEFT(D1487, LEN(D1487)-1),6,2)&gt;8,146),_xlfn.IFS(1*MID(LEFT(D1487, LEN(D1487)-1),6,2)&lt;3,90,1*MID(LEFT(D1487, LEN(D1487)-1),6,2)&lt;4,115,1*MID(LEFT(D1487, LEN(D1487)-1),6,2)&lt;6,135,1*MID(LEFT(D1487, LEN(D1487)-1),6,2)&lt;10,146,1*MID(LEFT(D1487, LEN(D1487)-1),6,2)&lt;13,165,1*MID(LEFT(D1487, LEN(D1487)-1),6,2)&gt;12,216))))</f>
        <v>90</v>
      </c>
      <c r="E1502" s="195"/>
      <c r="F1502" s="8"/>
      <c r="G1502" s="8"/>
      <c r="H1502" s="102"/>
    </row>
    <row r="1503" spans="2:11" ht="12" customHeight="1">
      <c r="B1503" s="20"/>
      <c r="C1503" s="46"/>
      <c r="D1503" s="117"/>
      <c r="F1503" s="8"/>
      <c r="G1503" s="8"/>
      <c r="H1503" s="102"/>
    </row>
    <row r="1504" spans="2:11" ht="12" customHeight="1">
      <c r="B1504" s="15" t="str">
        <f>"■"&amp;MID(B1481,2,14)</f>
        <v>■本設：EHDアンカーHP工法</v>
      </c>
      <c r="C1504" s="3"/>
      <c r="D1504" s="1"/>
      <c r="E1504" s="1"/>
      <c r="F1504" s="8"/>
      <c r="G1504" s="8"/>
      <c r="H1504" s="102"/>
    </row>
    <row r="1505" spans="2:11" ht="12" customHeight="1">
      <c r="B1505" s="2" t="s">
        <v>17</v>
      </c>
      <c r="C1505" s="43"/>
      <c r="D1505" s="196" t="s">
        <v>148</v>
      </c>
      <c r="E1505" s="135"/>
      <c r="F1505" s="16"/>
      <c r="G1505" s="61" t="s">
        <v>42</v>
      </c>
      <c r="H1505" s="97"/>
      <c r="I1505" s="2" t="s">
        <v>21</v>
      </c>
      <c r="J1505" s="49" t="s">
        <v>149</v>
      </c>
      <c r="K1505" s="2" t="s">
        <v>28</v>
      </c>
    </row>
    <row r="1506" spans="2:11" ht="12" customHeight="1">
      <c r="B1506" s="197" t="s">
        <v>150</v>
      </c>
      <c r="C1506" s="198" t="str">
        <f>IF(OR(D1486=0,D1487="　"),"",D1487&amp;" ("&amp;MID(LEFT(D1487, LEN(D1487)-1),6,2)&amp;IF(MID(D1487,4,1)="5","φ12.7","φ15.2")&amp;")")</f>
        <v>EHD5-4H (4φ12.7)</v>
      </c>
      <c r="D1506" s="199"/>
      <c r="E1506" s="200"/>
      <c r="F1506" s="201" t="str">
        <f>"W=テンドン長×PC鋼より線本数×"&amp;IF(MID(D1487,4,1)="5","0.774","1.101")&amp;"kg/m"</f>
        <v>W=テンドン長×PC鋼より線本数×0.774kg/m</v>
      </c>
      <c r="G1506" s="202"/>
      <c r="H1506" s="203"/>
      <c r="I1506" s="204" t="s">
        <v>11</v>
      </c>
      <c r="J1506" s="205">
        <f>IF(OR(D1486=0,D1487="　"),"",MROUND(D1499*MID(LEFT(D1487, LEN(D1487)-1),6,2)*IF(MID(D1487,4,1)="5","0.774","1.101"),0.01))</f>
        <v>30.03</v>
      </c>
      <c r="K1506" s="205">
        <f>IFERROR(D1486*J1506,"")</f>
        <v>300.3</v>
      </c>
    </row>
    <row r="1507" spans="2:11" ht="12" customHeight="1">
      <c r="B1507" s="206" t="s">
        <v>151</v>
      </c>
      <c r="C1507" s="207"/>
      <c r="D1507" s="208"/>
      <c r="E1507" s="209"/>
      <c r="F1507" s="210" t="s">
        <v>33</v>
      </c>
      <c r="G1507" s="211"/>
      <c r="H1507" s="212"/>
      <c r="I1507" s="213" t="s">
        <v>12</v>
      </c>
      <c r="J1507" s="214">
        <f>IF(OR(D1486=0,D1487="　"),"",MROUND(D1499,0.1))</f>
        <v>9.7000000000000011</v>
      </c>
      <c r="K1507" s="214">
        <f>IFERROR(D1486*J1507,"")</f>
        <v>97.000000000000014</v>
      </c>
    </row>
    <row r="1508" spans="2:11" ht="12" customHeight="1">
      <c r="B1508" s="206" t="str">
        <f>"頭部キャップ"</f>
        <v>頭部キャップ</v>
      </c>
      <c r="C1508" s="207" t="str" cm="1">
        <f t="array" ref="C1508">IF(OR(D1486=0,D1487="　"),"",IF(MID(D1487,4,1)="5",_xlfn.SWITCH(1*MID(LEFT(D1487, LEN(D1487)-1),6,2),1,"S",2,"S",3,"S",4,"S",5,"M",6,"M",7,"M",8,"L",9,"L",10,"L",11,"L",12,"L"),_xlfn.SWITCH(1*MID(LEFT(D1487, LEN(D1487)-1),6,2),1,"S",2,"S",3,"M",4,"M",5,"L",6,"L",7,"L",8,"LL",9,"LL",10,"LL",11,"LL",12,"LL",13,"LL",14,"LL"))&amp;"型"&amp;D1489&amp;IF(OR(MID(D1489,1,2)="透明",MID(D1489,1,2)="5窓"),"、PC樹脂","")&amp;"、ｱﾙﾐAC4C相当"&amp;_xlfn.IFS(MID(D1488,1,3)="防食Ⅱ","",MID(D1488,5,2)="塩害","、防食：ﾀｹｺｰﾄ処理",MID(D1488,5,2)="酸性","、防食：重防食処理"))</f>
        <v>S型透明キャップ、PC樹脂、ｱﾙﾐAC4C相当</v>
      </c>
      <c r="D1508" s="215"/>
      <c r="E1508" s="216"/>
      <c r="F1508" s="217" t="str">
        <f t="shared" ref="F1508:F1514" si="59">"n=1"</f>
        <v>n=1</v>
      </c>
      <c r="G1508" s="218"/>
      <c r="H1508" s="219"/>
      <c r="I1508" s="213" t="s">
        <v>13</v>
      </c>
      <c r="J1508" s="220" t="str">
        <f>IF(OR(D1486=0,D1487="　"),"",MID(F1508,3,2))</f>
        <v>1</v>
      </c>
      <c r="K1508" s="214">
        <f>IFERROR(D1486*J1508,"")</f>
        <v>10</v>
      </c>
    </row>
    <row r="1509" spans="2:11" ht="12" customHeight="1">
      <c r="B1509" s="206" t="s">
        <v>5</v>
      </c>
      <c r="C1509" s="207" t="str" cm="1">
        <f t="array" ref="C1509">IF(OR(D1486=0,D1487="　"),"",IF(MID(D1487,4,1)="5","G5"&amp;_xlfn.SWITCH(1*MID(LEFT(D1487, LEN(D1487)-1),6,2),1,"01",2,"02",3,"03",4,"04",5,"07",6,"07",7,"07",8,"09",9,"09",10,"12",11,"12",12,"12"),"G6"&amp;_xlfn.SWITCH(1*MID(LEFT(D1487, LEN(D1487)-1),6,2),1,"01",2,"02",3,"03",4,"04",5,"07",6,"07",7,"07",8,"09",9,"09",10,"12",11,"12",12,"12",13,"14",14,"14"))&amp;"、S45C相当"&amp;IF(MID(D1489,1,3)&lt;&gt;"アルミ","、防食：無電解Niめっき",""))</f>
        <v>G504、S45C相当、防食：無電解Niめっき</v>
      </c>
      <c r="D1509" s="208"/>
      <c r="E1509" s="209"/>
      <c r="F1509" s="217" t="str">
        <f t="shared" si="59"/>
        <v>n=1</v>
      </c>
      <c r="G1509" s="218"/>
      <c r="H1509" s="219"/>
      <c r="I1509" s="213" t="s">
        <v>13</v>
      </c>
      <c r="J1509" s="220" t="str">
        <f>IF(OR(D1486=0,D1487="　"),"",MID(F1509,3,2))</f>
        <v>1</v>
      </c>
      <c r="K1509" s="214">
        <f>IFERROR(D1486*J1509,"")</f>
        <v>10</v>
      </c>
    </row>
    <row r="1510" spans="2:11" ht="12" customHeight="1">
      <c r="B1510" s="206" t="s">
        <v>152</v>
      </c>
      <c r="C1510" s="207" t="str" cm="1">
        <f t="array" ref="C1510">IF(OR(D1486=0,D1487="　"),"",IF(MID(D1487,4,1)="5","G5"&amp;_xlfn.SWITCH(1*MID(LEFT(D1487, LEN(D1487)-1),6,2),1,"01",2,"02",3,"03",4,"04",5,"07",6,"07",7,"07",8,"09",9,"09",10,"12",11,"12",12,"12"),"G6"&amp;_xlfn.SWITCH(1*MID(LEFT(D1487, LEN(D1487)-1),6,2),1,"01",2,"02",3,"03",4,"04",5,"07",6,"07",7,"07",8,"09",9,"09",10,"12",11,"12",12,"12",13,"14",14,"14"))&amp;"、S45C相当"&amp;IF(MID(D1489,1,3)&lt;&gt;"アルミ","、防食：無電解Niめっき",""))</f>
        <v>G504、S45C相当、防食：無電解Niめっき</v>
      </c>
      <c r="D1510" s="208"/>
      <c r="E1510" s="209"/>
      <c r="F1510" s="217" t="str">
        <f t="shared" si="59"/>
        <v>n=1</v>
      </c>
      <c r="G1510" s="218"/>
      <c r="H1510" s="219"/>
      <c r="I1510" s="213" t="s">
        <v>13</v>
      </c>
      <c r="J1510" s="220" t="str">
        <f>IF(OR(D1486=0,D1487="　"),"",MID(F1510,3,2))</f>
        <v>1</v>
      </c>
      <c r="K1510" s="214">
        <f>IFERROR(D1486*J1510,"")</f>
        <v>10</v>
      </c>
    </row>
    <row r="1511" spans="2:11" ht="12" customHeight="1">
      <c r="B1511" s="206" t="s">
        <v>7</v>
      </c>
      <c r="C1511" s="207" t="str">
        <f>IF(OR(D1486=0,D1487="　"),"",IF(1*MID(D1487,4,1)=5,"ECF12.7","ECF15.2")&amp;"、SCM415相当"&amp;IF(MID(D1489,1,3)&lt;&gt;"アルミ","、防食：無電解Niめっき",""))</f>
        <v>ECF12.7、SCM415相当、防食：無電解Niめっき</v>
      </c>
      <c r="D1511" s="208"/>
      <c r="E1511" s="209"/>
      <c r="F1511" s="217" t="str">
        <f t="shared" si="59"/>
        <v>n=1</v>
      </c>
      <c r="G1511" s="218"/>
      <c r="H1511" s="219"/>
      <c r="I1511" s="213" t="s">
        <v>27</v>
      </c>
      <c r="J1511" s="220" t="str">
        <f>IF(OR(D1486=0,D1487="　"),"",MID(F1511,3,2))</f>
        <v>1</v>
      </c>
      <c r="K1511" s="214">
        <f>IFERROR(D1486*J1511,"")</f>
        <v>10</v>
      </c>
    </row>
    <row r="1512" spans="2:11" ht="12" customHeight="1">
      <c r="B1512" s="206" t="s">
        <v>153</v>
      </c>
      <c r="C1512" s="207" t="str" cm="1">
        <f t="array" ref="C1512">IF(OR(D1486=0,D1487="　"),"",IF(MID(D1487,4,1)="5","G5"&amp;_xlfn.SWITCH(1*MID(LEFT(D1487, LEN(D1487)-1),6,2),1,"01",2,"04",3,"03",4,"04",5,"07",6,"07",7,"07",8,"12",9,"12",10,"12",11,"12",12,"12"),"G6"&amp;_xlfn.SWITCH(1*MID(LEFT(D1487, LEN(D1487)-1),6,2),1,"01",2,"02",3,"03",4,"04",5,"07",6,"07",7,"07",8,"12",9,"12",10,"12",11,"12",12,"12",13,"14",14,"14"))&amp;"、SS400相当、防食："&amp;_xlfn.IFS(MID(D1488,1,3)="防食Ⅱ","HDZT77めっき",MID(D1488,5,2)="塩害","ｱﾙﾐﾅｲｽﾞ処理",MID(D1488,5,2)="酸性","重防食処理"))</f>
        <v>G504、SS400相当、防食：HDZT77めっき</v>
      </c>
      <c r="D1512" s="208"/>
      <c r="E1512" s="209"/>
      <c r="F1512" s="217" t="str">
        <f t="shared" si="59"/>
        <v>n=1</v>
      </c>
      <c r="G1512" s="218"/>
      <c r="H1512" s="219"/>
      <c r="I1512" s="213" t="s">
        <v>16</v>
      </c>
      <c r="J1512" s="220" t="str">
        <f>IF(OR(D1486=0,D1487="　"),"",MID(F1512,3,2))</f>
        <v>1</v>
      </c>
      <c r="K1512" s="214">
        <f>IFERROR(D1486*J1512,"")</f>
        <v>10</v>
      </c>
    </row>
    <row r="1513" spans="2:11" ht="12" customHeight="1">
      <c r="B1513" s="206" t="str">
        <f>IF(MID(D1490,1,3)="のり面","管付","")&amp;"支圧板"</f>
        <v>管付支圧板</v>
      </c>
      <c r="C1513" s="221" t="str" cm="1">
        <f t="array" ref="C1513">IF(OR(D1486=0,D1487="　"),"","PL"&amp;IF(MID(D1490,1,3)="のり面","P","")&amp;IF(MID(D1487,4,1)="5","5-"&amp;_xlfn.SWITCH(1*MID(LEFT(D1487, LEN(D1487)-1),6,2),1,"1",2,"2",3,"3",4,"4",5,"5",6,"6",7,"7",8,"9",9,"9",10,"10",11,"11",12,"12"),"6-"&amp;_xlfn.SWITCH(1*MID(LEFT(D1487, LEN(D1487)-1),6,2),1,"1",2,"2",3,"3",4,"4",5,"6",6,"6",7,"7",8,"8",9,"9",10,"10",11,"11",12,"12",13,"14",14,"14"))&amp;"、SS400相当、防食："&amp;_xlfn.IFS(MID(D1488,1,3)="防食Ⅱ","HDZT77めっき",MID(D1488,5,2)="塩害","ｱﾙﾐﾅｲｽﾞ処理",MID(D1488,5,2)="酸性","重防食処理"))</f>
        <v>PLP5-4、SS400相当、防食：HDZT77めっき</v>
      </c>
      <c r="D1513" s="208"/>
      <c r="E1513" s="209"/>
      <c r="F1513" s="217" t="str">
        <f t="shared" si="59"/>
        <v>n=1</v>
      </c>
      <c r="G1513" s="218"/>
      <c r="H1513" s="219"/>
      <c r="I1513" s="213" t="s">
        <v>16</v>
      </c>
      <c r="J1513" s="220" t="str">
        <f>IF(OR(D1486=0,D1487="　"),"",MID(F1513,3,2))</f>
        <v>1</v>
      </c>
      <c r="K1513" s="214">
        <f>IFERROR(D1486*J1513,"")</f>
        <v>10</v>
      </c>
    </row>
    <row r="1514" spans="2:11" ht="12" customHeight="1">
      <c r="B1514" s="206" t="s">
        <v>154</v>
      </c>
      <c r="C1514" s="207" t="str">
        <f>IF(OR(D1486=0,D1487="　"),"","G"&amp;MID(LEFT(D1487, LEN(D1487)-1),4,4)&amp;"、NBR45相当")</f>
        <v>G5-4、NBR45相当</v>
      </c>
      <c r="D1514" s="208"/>
      <c r="E1514" s="209"/>
      <c r="F1514" s="217" t="str">
        <f t="shared" si="59"/>
        <v>n=1</v>
      </c>
      <c r="G1514" s="218"/>
      <c r="H1514" s="219"/>
      <c r="I1514" s="213" t="s">
        <v>13</v>
      </c>
      <c r="J1514" s="220" t="str">
        <f>IF(OR(D1486=0,D1487="　"),"",MID(F1514,3,2))</f>
        <v>1</v>
      </c>
      <c r="K1514" s="214">
        <f>IFERROR(D1486*J1514,"")</f>
        <v>10</v>
      </c>
    </row>
    <row r="1515" spans="2:11" ht="12" customHeight="1">
      <c r="B1515" s="206" t="str" cm="1">
        <f t="array" ref="B1515">_xlfn.IFS(OR(D1486=0,D1487="　"),"",MID(D1489,1,3)="アルミ","頭部防錆油",MID(D1489,1,3)&lt;&gt;"アルミ","余長キャップ")</f>
        <v>余長キャップ</v>
      </c>
      <c r="C1515" s="221" t="str" cm="1">
        <f t="array" ref="C1515">_xlfn.IFS(OR(D1486=0,D1487="　"),"",MID(D1489,1,3)="アルミ","PCコートC",MID(D1489,1,3)&lt;&gt;"アルミ","TC"&amp;MID(D1487,4,1)&amp;"、高密度ポチエチレン")</f>
        <v>TC5、高密度ポチエチレン</v>
      </c>
      <c r="D1515" s="208"/>
      <c r="E1515" s="209"/>
      <c r="F1515" s="217" t="str" cm="1">
        <f t="array" ref="F1515">_xlfn.IFS(OR(D1486=0,D1487="　"),"",MID(D1489,1,3)="アルミ","W="&amp;IF(MID(D1487,4,1)="5",_xlfn.SWITCH(1*MID(LEFT(D1487, LEN(D1487)-1),6,2),1,1.9,2,1.3,3,1.3,4,1.3,5,1.6,6,1.6,7,1.6,8,3.1,9,3.1,10,3.1,11,3.1,12,3.1),"G6"&amp;_xlfn.SWITCH(1*MID(LEFT(D1487, LEN(D1487)-1),6,2),1,1.8,2,1.3,3,1.8,4,1.8,5,3.3,6,3.3,7,3.3,8,9.9,9,9.9,10,9.9,11,9.9,12,9.9,13,9.9,14,9.9)),MID(D1489,1,3)&lt;&gt;"アルミ","n=1")</f>
        <v>n=1</v>
      </c>
      <c r="G1515" s="218"/>
      <c r="H1515" s="219"/>
      <c r="I1515" s="213" t="str" cm="1">
        <f t="array" ref="I1515">_xlfn.IFS(OR(D1486=0,D1487="　"),"",MID(D1489,1,3)="アルミ","kg",MID(D1489,1,3)&lt;&gt;"アルミ","式")</f>
        <v>式</v>
      </c>
      <c r="J1515" s="220" t="str">
        <f>IF(OR(D1486=0,D1487="　"),"",MID(F1515,3,4))</f>
        <v>1</v>
      </c>
      <c r="K1515" s="214">
        <f>IFERROR(D1486*J1515,"")</f>
        <v>10</v>
      </c>
    </row>
    <row r="1516" spans="2:11" ht="12" customHeight="1">
      <c r="B1516" s="206" t="s">
        <v>9</v>
      </c>
      <c r="C1516" s="207" t="str" cm="1">
        <f t="array" ref="C1516">IF(OR(D1486=0,D1487="　"),"",IF(MID(D1487,4,1)="5","PS5-"&amp;_xlfn.SWITCH(1*MID(LEFT(D1487, LEN(D1487)-1),6,2),1,"7",2,"2",3,"3",4,"4",5,"7",6,"7",7,"7",8,"12",9,"12",10,"12",11,"12",12,"12"),"PS6-"&amp;_xlfn.SWITCH(1*MID(LEFT(D1487, LEN(D1487)-1),6,2),1,"7",2,"2",3,"3",4,"4",5,"7",6,"7",7,"7",8,"12",9,"12",10,"12",11,"12",12,"12",13,"14",14,"14"))&amp;"、高密度ポリエチレン")</f>
        <v>PS5-4、高密度ポリエチレン</v>
      </c>
      <c r="D1516" s="208"/>
      <c r="E1516" s="209"/>
      <c r="F1516" s="217" t="str">
        <f>"n=2"</f>
        <v>n=2</v>
      </c>
      <c r="G1516" s="218"/>
      <c r="H1516" s="219"/>
      <c r="I1516" s="213" t="s">
        <v>13</v>
      </c>
      <c r="J1516" s="220" t="str">
        <f>IF(OR(D1486=0,D1487="　"),"",MID(F1516,3,2))</f>
        <v>2</v>
      </c>
      <c r="K1516" s="214">
        <f>IFERROR(D1486*J1516,"")</f>
        <v>20</v>
      </c>
    </row>
    <row r="1517" spans="2:11" ht="12" customHeight="1">
      <c r="B1517" s="206" t="s">
        <v>2</v>
      </c>
      <c r="C1517" s="207" t="str" cm="1">
        <f t="array" ref="C1517">IF(OR(D1486=0,D1487="　"),"",IF(MID(D1487,4,1)="5","S5-"&amp;_xlfn.IFS(1*MID(LEFT(D1487, LEN(D1487)-1),6,2)&lt;6,"5",1*MID(LEFT(D1487, LEN(D1487)-1),6,2)&lt;9,"8",1*MID(LEFT(D1487, LEN(D1487)-1),6,2)&gt;8,"12"),"S6-"&amp;_xlfn.IFS(1*MID(LEFT(D1487, LEN(D1487)-1),6,2)&lt;4,"3",1*MID(LEFT(D1487, LEN(D1487)-1),6,2)&lt;7,"6",1*MID(LEFT(D1487, LEN(D1487)-1),6,2)&lt;10,"9",1*MID(LEFT(D1487, LEN(D1487)-1),6,2)&lt;13,"12",1*MID(LEFT(D1487, LEN(D1487)-1),6,2)&gt;12,"14"))&amp;"、ポリプロピレン")</f>
        <v>S5-5、ポリプロピレン</v>
      </c>
      <c r="D1517" s="208"/>
      <c r="E1517" s="209"/>
      <c r="F1517" s="222" t="s">
        <v>155</v>
      </c>
      <c r="G1517" s="211"/>
      <c r="H1517" s="212"/>
      <c r="I1517" s="213" t="s">
        <v>13</v>
      </c>
      <c r="J1517" s="206">
        <f>IF(OR(D1486=0,D1487="　"),"",MROUND((D1495-0.4)/1,1))</f>
        <v>4</v>
      </c>
      <c r="K1517" s="214">
        <f>IFERROR(D1486*J1517,"")</f>
        <v>40</v>
      </c>
    </row>
    <row r="1518" spans="2:11" ht="12" customHeight="1">
      <c r="B1518" s="206" t="s">
        <v>1</v>
      </c>
      <c r="C1518" s="207" t="str" cm="1">
        <f t="array" ref="C1518">IF(OR(D1486=0,D1487="　"),"",IF(MID(D1487,4,1)="5","PC5-"&amp;_xlfn.IFS(1*MID(LEFT(D1487, LEN(D1487)-1),6,2)&lt;5,"4",1*MID(LEFT(D1487, LEN(D1487)-1),6,2)&lt;8,"7",1*MID(LEFT(D1487, LEN(D1487)-1),6,2)&lt;10,"9",1*MID(LEFT(D1487, LEN(D1487)-1),6,2)&gt;9,"12"),"PC6-"&amp;_xlfn.IFS(1*MID(LEFT(D1487, LEN(D1487)-1),6,2)&lt;4,"3",1*MID(LEFT(D1487, LEN(D1487)-1),6,2)&lt;8,"7",1*MID(LEFT(D1487, LEN(D1487)-1),6,2)&lt;13,"12",1*MID(LEFT(D1487, LEN(D1487)-1),6,2)&gt;12,"14"))&amp;"、ポリプロピレン")</f>
        <v>PC5-4、ポリプロピレン</v>
      </c>
      <c r="D1518" s="208"/>
      <c r="E1518" s="209"/>
      <c r="F1518" s="217" t="str">
        <f>"n=1"</f>
        <v>n=1</v>
      </c>
      <c r="G1518" s="218"/>
      <c r="H1518" s="219"/>
      <c r="I1518" s="213" t="s">
        <v>13</v>
      </c>
      <c r="J1518" s="220" t="str">
        <f>IF(OR(D1486=0,D1487="　"),"",MID(F1518,3,2))</f>
        <v>1</v>
      </c>
      <c r="K1518" s="214">
        <f>IFERROR(D1486*J1518,"")</f>
        <v>10</v>
      </c>
    </row>
    <row r="1519" spans="2:11" ht="12" customHeight="1">
      <c r="B1519" s="206" t="s">
        <v>3</v>
      </c>
      <c r="C1519" s="207" t="str">
        <f>IF(OR(D1486=0,D1487="　"),"","66ナイロン")</f>
        <v>66ナイロン</v>
      </c>
      <c r="D1519" s="208"/>
      <c r="E1519" s="209"/>
      <c r="F1519" s="222" t="s">
        <v>156</v>
      </c>
      <c r="G1519" s="211"/>
      <c r="H1519" s="212"/>
      <c r="I1519" s="213" t="s">
        <v>14</v>
      </c>
      <c r="J1519" s="206">
        <f>IF(OR(D1486=0,D1487="　"),"",2*J1517)</f>
        <v>8</v>
      </c>
      <c r="K1519" s="214">
        <f>IFERROR(D1486*J1519,"")</f>
        <v>80</v>
      </c>
    </row>
    <row r="1520" spans="2:11" ht="12" customHeight="1">
      <c r="B1520" s="206" t="s">
        <v>4</v>
      </c>
      <c r="C1520" s="207" t="str">
        <f>IF(OR(D1486=0,D1487="　"),"","フィラメントテープ")</f>
        <v>フィラメントテープ</v>
      </c>
      <c r="D1520" s="208"/>
      <c r="E1520" s="209"/>
      <c r="F1520" s="222" t="str">
        <f>IF(OR(D1486=0,D1487="　"),"","L=((自由長+緊張部長)÷@1.0m)×テープ係数"&amp;IF(MID(D1487,4,1)="5",_xlfn.IFS(1*MID(LEFT(D1487, LEN(D1487)-1),6,2)&lt;4,"0.8",1*MID(LEFT(D1487, LEN(D1487)-1),6,2)&lt;7,"1.0",1*MID(LEFT(D1487, LEN(D1487)-1),6,2)&lt;10,"1.2",1*MID(LEFT(D1487, LEN(D1487)-1),6,2)&lt;13,"1.4"),_xlfn.IFS(1*MID(LEFT(D1487, LEN(D1487)-1),6,2)&lt;4,"1.0",1*MID(LEFT(D1487, LEN(D1487)-1),6,2)&lt;7,"1.2",1*MID(LEFT(D1487, LEN(D1487)-1),6,2)&lt;10,"1.4",1*MID(LEFT(D1487, LEN(D1487)-1),6,2)&lt;15,"1.8")))</f>
        <v>L=((自由長+緊張部長)÷@1.0m)×テープ係数1.0</v>
      </c>
      <c r="G1520" s="211"/>
      <c r="H1520" s="212"/>
      <c r="I1520" s="213" t="s">
        <v>12</v>
      </c>
      <c r="J1520" s="223">
        <f>IF(OR(D1486=0,D1487="　"),"",MROUND((SUM(D1496,D1497))/1*RIGHT(F1520, 3),0.1))</f>
        <v>5.5</v>
      </c>
      <c r="K1520" s="214">
        <f>IFERROR(D1486*J1520,"")</f>
        <v>55</v>
      </c>
    </row>
    <row r="1521" spans="2:11" ht="12" customHeight="1">
      <c r="B1521" s="206" t="s">
        <v>0</v>
      </c>
      <c r="C1521" s="207" t="str">
        <f>IF(OR(D1486=0,D1487="　"),"","16/20、高密度ポリエチレン")</f>
        <v>16/20、高密度ポリエチレン</v>
      </c>
      <c r="D1521" s="208"/>
      <c r="E1521" s="209"/>
      <c r="F1521" s="210" t="s">
        <v>33</v>
      </c>
      <c r="G1521" s="211"/>
      <c r="H1521" s="212"/>
      <c r="I1521" s="213" t="s">
        <v>12</v>
      </c>
      <c r="J1521" s="214">
        <f>IF(OR(D1486=0,D1487="　"),"",MROUND(D1499,0.1))</f>
        <v>9.7000000000000011</v>
      </c>
      <c r="K1521" s="214">
        <f>IFERROR(D1486*J1521,"")</f>
        <v>97.000000000000014</v>
      </c>
    </row>
    <row r="1522" spans="2:11" ht="12" customHeight="1">
      <c r="B1522" s="206" t="str" cm="1">
        <f t="array" ref="B1522">_xlfn.IFS(OR(D1486=0,D1487="　",MID(D1490,1,2)="なし",MID(D1490,1,3)="受圧体"),"",MID(D1490,1,3)="のり面","のり面角度台座",MID(D1490,1,3)="構造物","構造物壁面台座",MID(D1490,1,3)="土留め","土留め台座")</f>
        <v>のり面角度台座</v>
      </c>
      <c r="C1522" s="210" t="str" cm="1">
        <f t="array" ref="C1522">IF(OR(D1486=0,D1487="　",MID(D1490,1,2)="なし",MID(D1490,1,3)="受圧体"),"",_xlfn.IFS(MID(D1490,1,3)="のり面",IF(1*MID(D1487,4,1)=5,_xlfn.IFS(1*MID(LEFT(D1487, LEN(D1487)-1),6,2)&lt;5,"ST140",1*MID(LEFT(D1487, LEN(D1487)-1),6,2)&lt;8,"ST170",1*MID(LEFT(D1487, LEN(D1487)-1),6,2)&lt;13,"ST220"),_xlfn.IFS(1*MID(LEFT(D1487, LEN(D1487)-1),6,2)&lt;4,"ST140",1*MID(LEFT(D1487, LEN(D1487)-1),6,2)&lt;5,"ST170",1*MID(LEFT(D1487, LEN(D1487)-1),6,2)&lt;8,"ST220",1*MID(LEFT(D1487, LEN(D1487)-1),6,2)&lt;15,"非該当"))&amp;"、FCD450相当、防食："&amp;_xlfn.IFS(MID(D1488,1,3)="防食Ⅱ","HDZT77めっき",MID(D1488,5,2)="塩害","ｱﾙﾐﾅｲｽﾞ処理",MID(D1488,5,2)="酸性","重防食処理"),OR(MID(D1490,1,3)="構造物",MID(D1490,1,3)="土留め"),D1487&amp;"用"&amp;IF(OR(MID(D1490,1,3)="構造物",D1491="　"),"",D1491)&amp;"、防食："&amp;_xlfn.IFS(MID(D1488,1,3)="防食Ⅱ","HDZT77めっき",MID(D1488,5,2)="塩害","ｱﾙﾐﾅｲｽﾞ処理",MID(D1488,5,2)="酸性","重防食処理")))</f>
        <v>ST140、FCD450相当、防食：HDZT77めっき</v>
      </c>
      <c r="D1522" s="208"/>
      <c r="E1522" s="209"/>
      <c r="F1522" s="217" t="str">
        <f>IF(OR(D1490="なし",D1490="受圧体のみ"),"","n=1")</f>
        <v>n=1</v>
      </c>
      <c r="G1522" s="218"/>
      <c r="H1522" s="219"/>
      <c r="I1522" s="213" t="str">
        <f>IF(OR(D1486=0,D1487="　",B1522=""),"","台")</f>
        <v>台</v>
      </c>
      <c r="J1522" s="220" t="str">
        <f>IF(OR(D1486=0,D1487="　"),"",MID(F1522,3,2))</f>
        <v>1</v>
      </c>
      <c r="K1522" s="214">
        <f>IFERROR(D1486*J1522,"")</f>
        <v>10</v>
      </c>
    </row>
    <row r="1523" spans="2:11" ht="12" customHeight="1">
      <c r="B1523" s="206" t="str">
        <f>IF(OR(D1486=0,D1487="　",MID(D1490,1,3)&lt;&gt;"のり面"),"","補剛板")</f>
        <v>補剛板</v>
      </c>
      <c r="C1523" s="210" t="str" cm="1">
        <f t="array" ref="C1523">IF(OR(D1486=0,D1487="　",MID(D1490,1,3)&lt;&gt;"のり面"),"",IF(MID(D1487,4,1)="5","□"&amp;_xlfn.SWITCH(1*MID(LEFT(D1487, LEN(D1487)-1),6,2),1,"210φ131t12",2,"210φ131t12",3,"240φ131t12",4,"270φ131t12",5,"280φ143t12",6,"310φ143t16",7,"350φ143t19",8,"350φ180t19",9,"350φ180t19",10,"350φ180t19",11,"350φ180t22",12,"350φ180t22"),"□"&amp;_xlfn.SWITCH(1*MID(LEFT(D1487, LEN(D1487)-1),6,2),1,"210,φ131,t12",2,"240,φ131,t12",3,"270,φ131,t16",4,"300,φ143,t16",5,"350,φ180,t16",6,"350,φ180,t16",7,"350,φ180,t19",8,"400,φ──,t12",9,"400,φ──,t12",10,"400,φ──,t12",11,"400,φ──,t12",12,"400,φ──,t12",13,"400,φ──,t12",14,"400,φ──,t12"))&amp;"、SS400相当、防食："&amp;_xlfn.IFS(MID(D1488,1,3)="防食Ⅱ","HDZT77めっき",MID(D1488,5,2)="塩害","ｱﾙﾐﾅｲｽﾞ処理",MID(D1488,5,2)="酸性","重防食処理"))</f>
        <v>□270φ131t12、SS400相当、防食：HDZT77めっき</v>
      </c>
      <c r="D1523" s="208"/>
      <c r="E1523" s="209"/>
      <c r="F1523" s="217" t="str">
        <f>IF(OR(D1486=0,D1487="　",MID(D1490,1,3)&lt;&gt;"のり面"),"","n=1")</f>
        <v>n=1</v>
      </c>
      <c r="G1523" s="218"/>
      <c r="H1523" s="219"/>
      <c r="I1523" s="213" t="str">
        <f>IF(OR(D1486=0,D1487="　",B1523="",MID(D1490,1,3)&lt;&gt;"のり面"),"","枚")</f>
        <v>枚</v>
      </c>
      <c r="J1523" s="220" t="str">
        <f>IF(OR(D1486=0,D1487="　"),"",MID(F1523,3,2))</f>
        <v>1</v>
      </c>
      <c r="K1523" s="214">
        <f>IFERROR(D1486*J1523,"")</f>
        <v>10</v>
      </c>
    </row>
    <row r="1524" spans="2:11" ht="12" customHeight="1">
      <c r="B1524" s="206" t="str" cm="1">
        <f t="array" ref="B1524">_xlfn.IFS(OR(D1486=0,D1487="　"),"",MID(D1489,1,3)="アルミ","",MID(D1489,1,3)&lt;&gt;"アルミ","テンドン補修用塗料")</f>
        <v>テンドン補修用塗料</v>
      </c>
      <c r="C1524" s="210" t="str" cm="1">
        <f t="array" ref="C1524">_xlfn.IFS(OR(D1486=0,D1487="　"),"",MID(D1489,1,3)="アルミ","",MID(D1489,1,3)&lt;&gt;"アルミ","エポキシ樹脂")</f>
        <v>エポキシ樹脂</v>
      </c>
      <c r="D1524" s="208"/>
      <c r="E1524" s="209"/>
      <c r="F1524" s="217" t="str" cm="1">
        <f t="array" ref="F1524">_xlfn.IFS(OR(D1486=0,D1487="　"),"",MID(D1489,1,3)="アルミ","",MID(D1489,1,3)&lt;&gt;"アルミ","W=PC鋼より線本数×"&amp;IF(MID(D1487,4,1)="5","0.28","0.40"))</f>
        <v>W=PC鋼より線本数×0.28</v>
      </c>
      <c r="G1524" s="218"/>
      <c r="H1524" s="219"/>
      <c r="I1524" s="213" t="str" cm="1">
        <f t="array" ref="I1524">_xlfn.IFS(OR(D1486=0,D1487="　"),"",MID(D1489,1,3)="アルミ","",MID(D1489,1,3)&lt;&gt;"アルミ","g")</f>
        <v>g</v>
      </c>
      <c r="J1524" s="224" cm="1">
        <f t="array" ref="J1524">_xlfn.IFS(OR(D1486=0,D1487="　"),"",MID(D1489,1,3)="アルミ","",MID(D1489,1,3)&lt;&gt;"アルミ",MID(LEFT(D1487, LEN(D1487)-1),6,2)*IF(MID(D1487,4,1)="5",0.28,0.4))</f>
        <v>1.1200000000000001</v>
      </c>
      <c r="K1524" s="214">
        <f>IFERROR(D1486*J1524,"")</f>
        <v>11.200000000000001</v>
      </c>
    </row>
    <row r="1525" spans="2:11" ht="12" customHeight="1">
      <c r="B1525" s="206" t="str" cm="1">
        <f t="array" ref="B1525">_xlfn.IFS(OR(D1486=0,D1487="　"),"",MID(D1489,1,3)="アルミ","",MID(D1489,1,3)&lt;&gt;"アルミ","長期防錆スプレー")</f>
        <v>長期防錆スプレー</v>
      </c>
      <c r="C1525" s="210" t="str" cm="1">
        <f t="array" ref="C1525">_xlfn.IFS(OR(D1486=0,D1487="　"),"",MID(D1489,1,3)="アルミ","",MID(D1489,1,3)&lt;&gt;"アルミ","防錆オイル")</f>
        <v>防錆オイル</v>
      </c>
      <c r="D1525" s="208"/>
      <c r="E1525" s="209"/>
      <c r="F1525" s="217" t="str" cm="1">
        <f t="array" ref="F1525">_xlfn.IFS(OR(D1486=0,D1487="　"),"",MID(D1489,1,3)="アルミ","",MID(D1489,1,3)&lt;&gt;"アルミ","n=0.01×(PC鋼より線本数+"&amp;IF(MID(D1487,4,1)="5","6","12")&amp;")")</f>
        <v>n=0.01×(PC鋼より線本数+6)</v>
      </c>
      <c r="G1525" s="218"/>
      <c r="H1525" s="219"/>
      <c r="I1525" s="213" t="str" cm="1">
        <f t="array" ref="I1525">_xlfn.IFS(OR(D1486=0,D1487="　"),"",MID(D1489,1,3)="アルミ","",MID(D1489,1,3)&lt;&gt;"アルミ","缶")</f>
        <v>缶</v>
      </c>
      <c r="J1525" s="224" cm="1">
        <f t="array" ref="J1525">_xlfn.IFS(OR(D1486=0,D1487="　"),"",MID(D1489,1,3)="アルミ","",MID(D1489,1,3)&lt;&gt;"アルミ",0.01*(MID(LEFT(D1487, LEN(D1487)-1),6,2)+IF(MID(D1487,4,1)="5",6,12)))</f>
        <v>0.1</v>
      </c>
      <c r="K1525" s="214">
        <f>IFERROR(D1486*J1525,"")</f>
        <v>1</v>
      </c>
    </row>
    <row r="1526" spans="2:11" ht="12" customHeight="1">
      <c r="B1526" s="206" t="str">
        <f>IF(OR(D1486=0,D1487="　",D1492="なし"),"","フリーパッカー注入ホース")</f>
        <v/>
      </c>
      <c r="C1526" s="207" t="str">
        <f>IF(OR(D1486=0,D1487="　",B1526=""),"","16/20、高密度ポリエチレン")</f>
        <v/>
      </c>
      <c r="D1526" s="208"/>
      <c r="E1526" s="209"/>
      <c r="F1526" s="210" t="str">
        <f>IF(B1526="","","L=自由長+緊張部長")</f>
        <v/>
      </c>
      <c r="G1526" s="211"/>
      <c r="H1526" s="212"/>
      <c r="I1526" s="213" t="str">
        <f>IF(OR(D1486=0,D1487="　",B1526=""),"","m")</f>
        <v/>
      </c>
      <c r="J1526" s="214" t="str">
        <f>IF(OR(D1486=0,D1487="　"),"",IF(B1526="","",MROUND(D1496+D1497,0.1)))</f>
        <v/>
      </c>
      <c r="K1526" s="214" t="str">
        <f>IFERROR(D1486*J1526,"")</f>
        <v/>
      </c>
    </row>
    <row r="1527" spans="2:11" ht="12" customHeight="1">
      <c r="B1527" s="225" t="str">
        <f>IF(OR(D1486=0,D1487="　",D1492="なし"),"","フリーパッカー")</f>
        <v/>
      </c>
      <c r="C1527" s="217" t="str" cm="1">
        <f t="array" ref="C1527">IF(OR(D1486=0,D1487="　",B1526=""),"",_xlfn.SWITCH(D1501,90,"PA-170",115,"PA-200",135,"PA-240",146,"PA-240",165,"PA-350")&amp;"、織布")</f>
        <v/>
      </c>
      <c r="D1527" s="208"/>
      <c r="E1527" s="209"/>
      <c r="F1527" s="226" t="str">
        <f>IF(B1527="","","L=自由長+0.5m")</f>
        <v/>
      </c>
      <c r="G1527" s="227"/>
      <c r="H1527" s="228"/>
      <c r="I1527" s="213" t="str">
        <f>IF(OR(D1487=0,D1488="　",B1527=""),"","m")</f>
        <v/>
      </c>
      <c r="J1527" s="214" t="str">
        <f>IF(OR(D1486=0,D1487="　"),"",IF(B1527="","",MROUND(D1496+0.5,0.1)))</f>
        <v/>
      </c>
      <c r="K1527" s="214" t="str">
        <f>IFERROR(D1486*J1527,"")</f>
        <v/>
      </c>
    </row>
    <row r="1528" spans="2:11" ht="12" customHeight="1">
      <c r="B1528" s="206" t="str">
        <f>IF(OR(D1486=0,D1487="　",D1492="なし"),"","パッカー取付加工")</f>
        <v/>
      </c>
      <c r="C1528" s="207"/>
      <c r="D1528" s="208"/>
      <c r="E1528" s="209"/>
      <c r="F1528" s="217" t="str">
        <f>IF(B1528="","","n=1")</f>
        <v/>
      </c>
      <c r="G1528" s="218"/>
      <c r="H1528" s="219"/>
      <c r="I1528" s="213" t="str">
        <f>IF(OR(D1488=0,D1489="　",B1528=""),"","式")</f>
        <v/>
      </c>
      <c r="J1528" s="220" t="str">
        <f>IF(OR(D1486=0,D1487="　"),"",MID(F1528,3,2))</f>
        <v/>
      </c>
      <c r="K1528" s="206" t="str">
        <f>IFERROR(D1486*J1528,"")</f>
        <v/>
      </c>
    </row>
    <row r="1529" spans="2:11" ht="12" customHeight="1">
      <c r="B1529" s="229"/>
      <c r="C1529" s="230"/>
      <c r="D1529" s="231"/>
      <c r="E1529" s="232"/>
      <c r="F1529" s="233"/>
      <c r="G1529" s="234"/>
      <c r="H1529" s="235"/>
      <c r="I1529" s="236"/>
      <c r="J1529" s="237"/>
      <c r="K1529" s="229"/>
    </row>
    <row r="1530" spans="2:11" ht="12" customHeight="1">
      <c r="B1530" s="238" t="s">
        <v>30</v>
      </c>
      <c r="C1530" s="239" t="s">
        <v>31</v>
      </c>
      <c r="D1530" s="240"/>
      <c r="E1530" s="241"/>
      <c r="F1530" s="242" t="s">
        <v>157</v>
      </c>
      <c r="G1530" s="243"/>
      <c r="H1530" s="244"/>
      <c r="I1530" s="245" t="s">
        <v>55</v>
      </c>
      <c r="J1530" s="246">
        <f>IFERROR(MROUND(0.25*PI()*(0.001*D1501)^2*(D1494+D1495+D1500)*(1+2.2),0.01),"")</f>
        <v>0.17</v>
      </c>
      <c r="K1530" s="246">
        <f>IFERROR(D1486*J1530,"")</f>
        <v>1.7000000000000002</v>
      </c>
    </row>
    <row r="1532" spans="2:11" ht="12" customHeight="1">
      <c r="B1532" s="247" t="s">
        <v>136</v>
      </c>
      <c r="C1532" s="247"/>
      <c r="D1532" s="247"/>
      <c r="F1532" s="163"/>
      <c r="G1532" s="164"/>
      <c r="H1532" s="164"/>
    </row>
    <row r="1533" spans="2:11" ht="12" customHeight="1">
      <c r="B1533" s="15" t="s">
        <v>111</v>
      </c>
      <c r="C1533" s="15"/>
      <c r="D1533" s="1"/>
      <c r="E1533" s="1"/>
      <c r="H1533" s="119"/>
      <c r="J1533" s="118"/>
    </row>
    <row r="1534" spans="2:11" ht="12" customHeight="1">
      <c r="B1534" s="165" t="s">
        <v>166</v>
      </c>
      <c r="C1534" s="3"/>
      <c r="D1534" s="1"/>
      <c r="E1534" s="1"/>
      <c r="F1534" s="8"/>
      <c r="G1534" s="8"/>
      <c r="H1534" s="102"/>
      <c r="I1534" s="28"/>
      <c r="J1534" s="118"/>
    </row>
    <row r="1535" spans="2:11" ht="12" customHeight="1">
      <c r="B1535" s="15" t="s">
        <v>40</v>
      </c>
      <c r="C1535" s="3"/>
      <c r="D1535" s="1"/>
      <c r="E1535" s="1"/>
      <c r="F1535" s="15" t="s">
        <v>54</v>
      </c>
      <c r="G1535" s="15"/>
      <c r="H1535" s="102"/>
      <c r="I1535" s="28"/>
    </row>
    <row r="1536" spans="2:11" ht="12" customHeight="1">
      <c r="B1536" s="2" t="s">
        <v>53</v>
      </c>
      <c r="C1536" s="2" t="s">
        <v>21</v>
      </c>
      <c r="D1536" s="2" t="s">
        <v>22</v>
      </c>
      <c r="E1536" s="17"/>
      <c r="F1536" s="49" t="s">
        <v>41</v>
      </c>
      <c r="G1536" s="97" t="s">
        <v>59</v>
      </c>
      <c r="H1536" s="49" t="s">
        <v>44</v>
      </c>
      <c r="I1536" s="2" t="s">
        <v>21</v>
      </c>
      <c r="J1536" s="49" t="s">
        <v>138</v>
      </c>
      <c r="K1536" s="2" t="s">
        <v>28</v>
      </c>
    </row>
    <row r="1537" spans="2:11" ht="12" customHeight="1">
      <c r="B1537" s="166" t="s">
        <v>25</v>
      </c>
      <c r="C1537" s="18" t="s">
        <v>24</v>
      </c>
      <c r="D1537" s="167">
        <v>10</v>
      </c>
      <c r="E1537" s="19"/>
      <c r="F1537" s="168" t="s">
        <v>43</v>
      </c>
      <c r="G1537" s="169" t="s">
        <v>113</v>
      </c>
      <c r="H1537" s="88" t="str" cm="1">
        <f t="array" ref="H1537">_xlfn.IFS(AND(F1537&lt;&gt;"非削孔",F1537&lt;&gt;"無設定"),D1552,F1537="非削孔",IF(MID(D1541,1,3)="土留め","非削孔","箱抜き"),F1537="無設定","無設定")</f>
        <v>箱抜き</v>
      </c>
      <c r="I1537" s="23" t="str">
        <f>IF(F1537="無設定","","m")</f>
        <v>m</v>
      </c>
      <c r="J1537" s="170">
        <v>0.5</v>
      </c>
      <c r="K1537" s="30">
        <f>D1537*J1537</f>
        <v>5</v>
      </c>
    </row>
    <row r="1538" spans="2:11" ht="12" customHeight="1">
      <c r="B1538" s="171" t="s">
        <v>37</v>
      </c>
      <c r="C1538" s="50" t="s">
        <v>38</v>
      </c>
      <c r="D1538" s="172" t="s">
        <v>159</v>
      </c>
      <c r="E1538" s="173"/>
      <c r="F1538" s="174" t="s">
        <v>49</v>
      </c>
      <c r="G1538" s="169" t="s">
        <v>114</v>
      </c>
      <c r="H1538" s="88" cm="1">
        <f t="array" ref="H1538">_xlfn.IFS(AND(F1538&lt;&gt;"非削孔",F1538&lt;&gt;"無設定"),D1552,F1538="非削孔","箱抜き",F1538="無設定","無設定")</f>
        <v>90</v>
      </c>
      <c r="I1538" s="23" t="str">
        <f t="shared" ref="I1538:I1546" si="60">IF(F1538="無設定","","m")</f>
        <v>m</v>
      </c>
      <c r="J1538" s="170">
        <v>2.64</v>
      </c>
      <c r="K1538" s="30">
        <f>D1537*J1538</f>
        <v>26.400000000000002</v>
      </c>
    </row>
    <row r="1539" spans="2:11" ht="12" customHeight="1">
      <c r="B1539" s="52" t="s">
        <v>39</v>
      </c>
      <c r="C1539" s="91" t="s">
        <v>38</v>
      </c>
      <c r="D1539" s="175" t="s">
        <v>60</v>
      </c>
      <c r="E1539" s="140"/>
      <c r="F1539" s="174" t="s">
        <v>49</v>
      </c>
      <c r="G1539" s="169" t="s">
        <v>115</v>
      </c>
      <c r="H1539" s="88" cm="1">
        <f t="array" ref="H1539">_xlfn.IFS(AND(F1539&lt;&gt;"非削孔",F1539&lt;&gt;"無設定"),D1552,F1539="非削孔","箱抜き",F1539="無設定","無設定")</f>
        <v>90</v>
      </c>
      <c r="I1539" s="23" t="str">
        <f t="shared" si="60"/>
        <v>m</v>
      </c>
      <c r="J1539" s="170">
        <v>5.36</v>
      </c>
      <c r="K1539" s="30">
        <f>D1537*J1539</f>
        <v>53.6</v>
      </c>
    </row>
    <row r="1540" spans="2:11" ht="12" customHeight="1">
      <c r="B1540" s="147" t="s">
        <v>140</v>
      </c>
      <c r="C1540" s="91" t="s">
        <v>38</v>
      </c>
      <c r="D1540" s="176" t="s">
        <v>141</v>
      </c>
      <c r="E1540" s="141"/>
      <c r="F1540" s="174" t="s">
        <v>48</v>
      </c>
      <c r="G1540" s="169"/>
      <c r="H1540" s="88" t="str" cm="1">
        <f t="array" ref="H1540">_xlfn.IFS(AND(F1540&lt;&gt;"非削孔",F1540&lt;&gt;"無設定"),D1552,F1540="非削孔","箱抜き",F1540="無設定","無設定")</f>
        <v>無設定</v>
      </c>
      <c r="I1540" s="23" t="str">
        <f t="shared" si="60"/>
        <v/>
      </c>
      <c r="J1540" s="170">
        <v>0</v>
      </c>
      <c r="K1540" s="30">
        <f>D1537*J1540</f>
        <v>0</v>
      </c>
    </row>
    <row r="1541" spans="2:11" ht="12" customHeight="1">
      <c r="B1541" s="147" t="s">
        <v>142</v>
      </c>
      <c r="C1541" s="91" t="s">
        <v>38</v>
      </c>
      <c r="D1541" s="177" t="s">
        <v>160</v>
      </c>
      <c r="E1541" s="21"/>
      <c r="F1541" s="174" t="s">
        <v>48</v>
      </c>
      <c r="G1541" s="169"/>
      <c r="H1541" s="88" t="str" cm="1">
        <f t="array" ref="H1541">_xlfn.IFS(AND(F1541&lt;&gt;"非削孔",F1541&lt;&gt;"無設定"),D1552,F1541="非削孔","箱抜き",F1541="無設定","無設定")</f>
        <v>無設定</v>
      </c>
      <c r="I1541" s="23" t="str">
        <f t="shared" si="60"/>
        <v/>
      </c>
      <c r="J1541" s="170">
        <v>0</v>
      </c>
      <c r="K1541" s="30">
        <f>D1537*J1541</f>
        <v>0</v>
      </c>
    </row>
    <row r="1542" spans="2:11" ht="12" customHeight="1">
      <c r="B1542" s="114" t="str">
        <f>IF(MID(D1541,1,3)="土留め",D1541&amp;"の種類","")</f>
        <v/>
      </c>
      <c r="C1542" s="91" t="s">
        <v>38</v>
      </c>
      <c r="D1542" s="178" t="s">
        <v>71</v>
      </c>
      <c r="E1542" s="21"/>
      <c r="F1542" s="174" t="s">
        <v>48</v>
      </c>
      <c r="G1542" s="169"/>
      <c r="H1542" s="88" t="str" cm="1">
        <f t="array" ref="H1542">_xlfn.IFS(AND(F1542&lt;&gt;"非削孔",F1542&lt;&gt;"無設定"),D1552,F1542="非削孔","箱抜き",F1542="無設定","無設定")</f>
        <v>無設定</v>
      </c>
      <c r="I1542" s="23" t="str">
        <f t="shared" si="60"/>
        <v/>
      </c>
      <c r="J1542" s="170">
        <v>0</v>
      </c>
      <c r="K1542" s="30">
        <f>D1537*J1542</f>
        <v>0</v>
      </c>
    </row>
    <row r="1543" spans="2:11" ht="12" customHeight="1">
      <c r="B1543" s="179" t="s">
        <v>50</v>
      </c>
      <c r="C1543" s="180" t="s">
        <v>38</v>
      </c>
      <c r="D1543" s="181" t="s">
        <v>51</v>
      </c>
      <c r="E1543" s="182"/>
      <c r="F1543" s="174" t="s">
        <v>48</v>
      </c>
      <c r="G1543" s="169"/>
      <c r="H1543" s="88" t="str" cm="1">
        <f t="array" ref="H1543">_xlfn.IFS(AND(F1543&lt;&gt;"非削孔",F1543&lt;&gt;"無設定"),D1552,F1543="非削孔","箱抜き",F1543="無設定","無設定")</f>
        <v>無設定</v>
      </c>
      <c r="I1543" s="23" t="str">
        <f t="shared" si="60"/>
        <v/>
      </c>
      <c r="J1543" s="170">
        <v>0</v>
      </c>
      <c r="K1543" s="30">
        <f>D1537*J1543</f>
        <v>0</v>
      </c>
    </row>
    <row r="1544" spans="2:11" ht="12" customHeight="1">
      <c r="B1544" s="160" t="str" cm="1">
        <f t="array" ref="B1544">"頭部自由長"&amp;_xlfn.IFS(MID(D1541,1,2)="なし","",MID(D1541,1,3)="受圧体","(受圧体)",MID(D1541,1,3)="のり面","(角度台座＋受圧体)",MID(D1541,1,3)="構造物","(壁面台座)",MID(D1541,1,3)="土留め","(台座+腹起し)")&amp;"　Lfh"</f>
        <v>頭部自由長(角度台座＋受圧体)　Lfh</v>
      </c>
      <c r="C1544" s="155" t="s">
        <v>23</v>
      </c>
      <c r="D1544" s="183">
        <v>0.5</v>
      </c>
      <c r="E1544" s="21"/>
      <c r="F1544" s="174" t="s">
        <v>144</v>
      </c>
      <c r="G1544" s="169"/>
      <c r="H1544" s="88" cm="1">
        <f t="array" ref="H1544">_xlfn.IFS(AND(F1544&lt;&gt;"非削孔",F1544&lt;&gt;"無設定"),D1552,F1544="非削孔","箱抜き",F1544="無設定","無設定")</f>
        <v>90</v>
      </c>
      <c r="I1544" s="23" t="str">
        <f t="shared" si="60"/>
        <v>m</v>
      </c>
      <c r="J1544" s="170">
        <v>0</v>
      </c>
      <c r="K1544" s="30">
        <f>D1537*J1544</f>
        <v>0</v>
      </c>
    </row>
    <row r="1545" spans="2:11" ht="12" customHeight="1">
      <c r="B1545" s="22" t="s">
        <v>108</v>
      </c>
      <c r="C1545" s="23" t="s">
        <v>23</v>
      </c>
      <c r="D1545" s="184">
        <v>4</v>
      </c>
      <c r="E1545" s="21"/>
      <c r="F1545" s="174" t="s">
        <v>48</v>
      </c>
      <c r="G1545" s="169"/>
      <c r="H1545" s="88" t="str" cm="1">
        <f t="array" ref="H1545">_xlfn.IFS(AND(F1545&lt;&gt;"非削孔",F1545&lt;&gt;"無設定"),D1552,F1545="非削孔","箱抜き",F1545="無設定","無設定")</f>
        <v>無設定</v>
      </c>
      <c r="I1545" s="23" t="str">
        <f t="shared" si="60"/>
        <v/>
      </c>
      <c r="J1545" s="170">
        <v>0</v>
      </c>
      <c r="K1545" s="30">
        <f>D1537*J1545</f>
        <v>0</v>
      </c>
    </row>
    <row r="1546" spans="2:11" ht="12" customHeight="1">
      <c r="B1546" s="157" t="s">
        <v>36</v>
      </c>
      <c r="C1546" s="158" t="s">
        <v>23</v>
      </c>
      <c r="D1546" s="185">
        <v>4</v>
      </c>
      <c r="F1546" s="186" t="str" cm="1">
        <f t="array" ref="F1546">INDEX(F1537:H1545,MATCH("無設定",F1537:F1545,0)-1,MATCH(F1536,F1536:H1536,0))</f>
        <v>軟　岩</v>
      </c>
      <c r="G1546" s="100" t="str" cm="1">
        <f t="array" ref="G1546">INDEX(F1537:H1545,MATCH("無設定",F1537:F1545,0)-1,MATCH(G1536,F1536:H1536,0))&amp;"　(先端長 L2d)"</f>
        <v>風化岩 CL　(先端長 L2d)</v>
      </c>
      <c r="H1546" s="88" cm="1">
        <f t="array" ref="H1546">INDEX(F1537:H1545,MATCH("無設定",F1537:F1545,0)-1,MATCH(H1536,F1536:H1536,0))</f>
        <v>90</v>
      </c>
      <c r="I1546" s="23" t="str">
        <f t="shared" si="60"/>
        <v>m</v>
      </c>
      <c r="J1546" s="98">
        <f>D1551</f>
        <v>0.25</v>
      </c>
      <c r="K1546" s="78">
        <f>IFERROR(D1537*J1546,"")</f>
        <v>2.5</v>
      </c>
    </row>
    <row r="1547" spans="2:11" ht="12" customHeight="1">
      <c r="B1547" s="154" t="s">
        <v>145</v>
      </c>
      <c r="C1547" s="155" t="s">
        <v>23</v>
      </c>
      <c r="D1547" s="187">
        <f>IF(OR(D1537=0,D1538="　"),"──",SUM(D1544:D1545))</f>
        <v>4.5</v>
      </c>
      <c r="E1547" s="19"/>
      <c r="F1547" s="188"/>
      <c r="G1547" s="75" t="s">
        <v>124</v>
      </c>
      <c r="H1547" s="103"/>
      <c r="I1547" s="18" t="s">
        <v>23</v>
      </c>
      <c r="J1547" s="74">
        <f>SUMIFS(J1537:J1546,F1537:F1546,"&lt;&gt;非削孔",F1537:F1546,"&lt;&gt;無設定")</f>
        <v>8.25</v>
      </c>
      <c r="K1547" s="95">
        <f>SUMIFS(K1537:K1546,F1537:F1546,"&lt;&gt;非削孔",F1537:F1546,"&lt;&gt;無設定")</f>
        <v>82.5</v>
      </c>
    </row>
    <row r="1548" spans="2:11" ht="12" customHeight="1">
      <c r="B1548" s="146" t="s">
        <v>146</v>
      </c>
      <c r="C1548" s="23" t="s">
        <v>23</v>
      </c>
      <c r="D1548" s="189" cm="1">
        <f t="array" ref="D1548">IF(OR(D1537=0,D1538="　"),"──",IF(MID(D1538,4,1)="5",_xlfn.IFS(1*MID(LEFT(D1538, LEN(D1538)-1),6,2)&lt;8,1,1*MID(LEFT(D1538, LEN(D1538)-1),6,2)&lt;13,1.2),_xlfn.IFS(1*MID(LEFT(D1538, LEN(D1538)-1),6,2)&lt;6,1,1*MID(LEFT(D1538, LEN(D1538)-1),6,2)&lt;15,1.2)))</f>
        <v>1</v>
      </c>
      <c r="E1548" s="19"/>
      <c r="F1548" s="190"/>
      <c r="G1548" s="76" t="s">
        <v>47</v>
      </c>
      <c r="H1548" s="104"/>
      <c r="I1548" s="79" t="s">
        <v>46</v>
      </c>
      <c r="J1548" s="77" t="str">
        <f>IF(OR(D1537=0,D1538="　"),"",IF(SUM(D1545:D1546,D1551)=J1547,"OK","NG"))</f>
        <v>OK</v>
      </c>
      <c r="K1548" s="145" t="str">
        <f>IF(J1548&lt;&gt;"NG","──",J1547-SUM(D1545:D1546,D1551))</f>
        <v>──</v>
      </c>
    </row>
    <row r="1549" spans="2:11" ht="12" customHeight="1">
      <c r="B1549" s="22" t="s">
        <v>125</v>
      </c>
      <c r="C1549" s="23" t="s">
        <v>35</v>
      </c>
      <c r="D1549" s="84">
        <f>IF(OR(D1537=0,D1538="　"),"──",0.2)</f>
        <v>0.2</v>
      </c>
      <c r="F1549" s="191" t="s">
        <v>58</v>
      </c>
      <c r="G1549" s="248" t="s">
        <v>110</v>
      </c>
      <c r="H1549" s="249"/>
      <c r="I1549" s="249"/>
      <c r="J1549" s="249"/>
      <c r="K1549" s="250"/>
    </row>
    <row r="1550" spans="2:11" ht="12" customHeight="1">
      <c r="B1550" s="6" t="s">
        <v>147</v>
      </c>
      <c r="C1550" s="23" t="s">
        <v>23</v>
      </c>
      <c r="D1550" s="60">
        <f>IF(OR(D1537=0,D1538="　"),"──",SUM(D1546:D1549))</f>
        <v>9.6999999999999993</v>
      </c>
    </row>
    <row r="1551" spans="2:11" ht="12" customHeight="1">
      <c r="B1551" s="25" t="s">
        <v>127</v>
      </c>
      <c r="C1551" s="26" t="s">
        <v>23</v>
      </c>
      <c r="D1551" s="27">
        <f>IF(OR(D1537=0,D1538="　"),"──",0.25)</f>
        <v>0.25</v>
      </c>
      <c r="F1551" s="8"/>
      <c r="G1551" s="8"/>
      <c r="H1551" s="102"/>
    </row>
    <row r="1552" spans="2:11" ht="12" customHeight="1">
      <c r="B1552" s="95" t="s">
        <v>123</v>
      </c>
      <c r="C1552" s="18" t="s">
        <v>32</v>
      </c>
      <c r="D1552" s="192">
        <v>90</v>
      </c>
      <c r="E1552" s="193" t="str">
        <f>IF(D1552&lt;D1553,"NG：削孔径不適合","")</f>
        <v/>
      </c>
      <c r="F1552" s="8"/>
      <c r="G1552" s="8"/>
      <c r="H1552" s="102"/>
    </row>
    <row r="1553" spans="2:11" ht="12" customHeight="1">
      <c r="B1553" s="25" t="s">
        <v>122</v>
      </c>
      <c r="C1553" s="26" t="s">
        <v>32</v>
      </c>
      <c r="D1553" s="194" cm="1">
        <f t="array" ref="D1553">IF(OR(D1537=0,D1538="　"),"──",IF(D1543="なし",IF(MID(D1538,4,1)="5",_xlfn.IFS(1*MID(LEFT(D1538, LEN(D1538)-1),6,2)&lt;6,90,1*MID(LEFT(D1538, LEN(D1538)-1),6,2)&lt;9,115,1*MID(LEFT(D1538, LEN(D1538)-1),6,2)&gt;8,135),_xlfn.IFS(1*MID(LEFT(D1538, LEN(D1538)-1),6,2)&lt;4,90,1*MID(LEFT(D1538, LEN(D1538)-1),6,2)&lt;7,115,1*MID(LEFT(D1538, LEN(D1538)-1),6,2)&lt;10,135,1*MID(LEFT(D1538, LEN(D1538)-1),6,2)&lt;13,146,1*MID(LEFT(D1538, LEN(D1538)-1),6,2)&gt;12,165)),IF(MID(D1538,4,1)="5",_xlfn.IFS(1*MID(LEFT(D1538, LEN(D1538)-1),6,2)&lt;3,90,1*MID(LEFT(D1538, LEN(D1538)-1),6,2)&lt;7,115,1*MID(LEFT(D1538, LEN(D1538)-1),6,2)&lt;9,135,1*MID(LEFT(D1538, LEN(D1538)-1),6,2)&gt;8,146),_xlfn.IFS(1*MID(LEFT(D1538, LEN(D1538)-1),6,2)&lt;3,90,1*MID(LEFT(D1538, LEN(D1538)-1),6,2)&lt;4,115,1*MID(LEFT(D1538, LEN(D1538)-1),6,2)&lt;6,135,1*MID(LEFT(D1538, LEN(D1538)-1),6,2)&lt;10,146,1*MID(LEFT(D1538, LEN(D1538)-1),6,2)&lt;13,165,1*MID(LEFT(D1538, LEN(D1538)-1),6,2)&gt;12,216))))</f>
        <v>90</v>
      </c>
      <c r="E1553" s="195"/>
      <c r="F1553" s="8"/>
      <c r="G1553" s="8"/>
      <c r="H1553" s="102"/>
    </row>
    <row r="1554" spans="2:11" ht="12" customHeight="1">
      <c r="B1554" s="20"/>
      <c r="C1554" s="46"/>
      <c r="D1554" s="117"/>
      <c r="F1554" s="8"/>
      <c r="G1554" s="8"/>
      <c r="H1554" s="102"/>
    </row>
    <row r="1555" spans="2:11" ht="12" customHeight="1">
      <c r="B1555" s="15" t="str">
        <f>"■"&amp;MID(B1532,2,14)</f>
        <v>■本設：EHDアンカーHP工法</v>
      </c>
      <c r="C1555" s="3"/>
      <c r="D1555" s="1"/>
      <c r="E1555" s="1"/>
      <c r="F1555" s="8"/>
      <c r="G1555" s="8"/>
      <c r="H1555" s="102"/>
    </row>
    <row r="1556" spans="2:11" ht="12" customHeight="1">
      <c r="B1556" s="2" t="s">
        <v>17</v>
      </c>
      <c r="C1556" s="43"/>
      <c r="D1556" s="196" t="s">
        <v>148</v>
      </c>
      <c r="E1556" s="135"/>
      <c r="F1556" s="16"/>
      <c r="G1556" s="61" t="s">
        <v>42</v>
      </c>
      <c r="H1556" s="97"/>
      <c r="I1556" s="2" t="s">
        <v>21</v>
      </c>
      <c r="J1556" s="49" t="s">
        <v>149</v>
      </c>
      <c r="K1556" s="2" t="s">
        <v>28</v>
      </c>
    </row>
    <row r="1557" spans="2:11" ht="12" customHeight="1">
      <c r="B1557" s="197" t="s">
        <v>150</v>
      </c>
      <c r="C1557" s="198" t="str">
        <f>IF(OR(D1537=0,D1538="　"),"",D1538&amp;" ("&amp;MID(LEFT(D1538, LEN(D1538)-1),6,2)&amp;IF(MID(D1538,4,1)="5","φ12.7","φ15.2")&amp;")")</f>
        <v>EHD5-4H (4φ12.7)</v>
      </c>
      <c r="D1557" s="199"/>
      <c r="E1557" s="200"/>
      <c r="F1557" s="201" t="str">
        <f>"W=テンドン長×PC鋼より線本数×"&amp;IF(MID(D1538,4,1)="5","0.774","1.101")&amp;"kg/m"</f>
        <v>W=テンドン長×PC鋼より線本数×0.774kg/m</v>
      </c>
      <c r="G1557" s="202"/>
      <c r="H1557" s="203"/>
      <c r="I1557" s="204" t="s">
        <v>11</v>
      </c>
      <c r="J1557" s="205">
        <f>IF(OR(D1537=0,D1538="　"),"",MROUND(D1550*MID(LEFT(D1538, LEN(D1538)-1),6,2)*IF(MID(D1538,4,1)="5","0.774","1.101"),0.01))</f>
        <v>30.03</v>
      </c>
      <c r="K1557" s="205">
        <f>IFERROR(D1537*J1557,"")</f>
        <v>300.3</v>
      </c>
    </row>
    <row r="1558" spans="2:11" ht="12" customHeight="1">
      <c r="B1558" s="206" t="s">
        <v>151</v>
      </c>
      <c r="C1558" s="207"/>
      <c r="D1558" s="208"/>
      <c r="E1558" s="209"/>
      <c r="F1558" s="210" t="s">
        <v>33</v>
      </c>
      <c r="G1558" s="211"/>
      <c r="H1558" s="212"/>
      <c r="I1558" s="213" t="s">
        <v>12</v>
      </c>
      <c r="J1558" s="214">
        <f>IF(OR(D1537=0,D1538="　"),"",MROUND(D1550,0.1))</f>
        <v>9.7000000000000011</v>
      </c>
      <c r="K1558" s="214">
        <f>IFERROR(D1537*J1558,"")</f>
        <v>97.000000000000014</v>
      </c>
    </row>
    <row r="1559" spans="2:11" ht="12" customHeight="1">
      <c r="B1559" s="206" t="str">
        <f>"頭部キャップ"</f>
        <v>頭部キャップ</v>
      </c>
      <c r="C1559" s="207" t="str" cm="1">
        <f t="array" ref="C1559">IF(OR(D1537=0,D1538="　"),"",IF(MID(D1538,4,1)="5",_xlfn.SWITCH(1*MID(LEFT(D1538, LEN(D1538)-1),6,2),1,"S",2,"S",3,"S",4,"S",5,"M",6,"M",7,"M",8,"L",9,"L",10,"L",11,"L",12,"L"),_xlfn.SWITCH(1*MID(LEFT(D1538, LEN(D1538)-1),6,2),1,"S",2,"S",3,"M",4,"M",5,"L",6,"L",7,"L",8,"LL",9,"LL",10,"LL",11,"LL",12,"LL",13,"LL",14,"LL"))&amp;"型"&amp;D1540&amp;IF(OR(MID(D1540,1,2)="透明",MID(D1540,1,2)="5窓"),"、PC樹脂","")&amp;"、ｱﾙﾐAC4C相当"&amp;_xlfn.IFS(MID(D1539,1,3)="防食Ⅱ","",MID(D1539,5,2)="塩害","、防食：ﾀｹｺｰﾄ処理",MID(D1539,5,2)="酸性","、防食：重防食処理"))</f>
        <v>S型透明キャップ、PC樹脂、ｱﾙﾐAC4C相当</v>
      </c>
      <c r="D1559" s="215"/>
      <c r="E1559" s="216"/>
      <c r="F1559" s="217" t="str">
        <f t="shared" ref="F1559:F1565" si="61">"n=1"</f>
        <v>n=1</v>
      </c>
      <c r="G1559" s="218"/>
      <c r="H1559" s="219"/>
      <c r="I1559" s="213" t="s">
        <v>13</v>
      </c>
      <c r="J1559" s="220" t="str">
        <f>IF(OR(D1537=0,D1538="　"),"",MID(F1559,3,2))</f>
        <v>1</v>
      </c>
      <c r="K1559" s="214">
        <f>IFERROR(D1537*J1559,"")</f>
        <v>10</v>
      </c>
    </row>
    <row r="1560" spans="2:11" ht="12" customHeight="1">
      <c r="B1560" s="206" t="s">
        <v>5</v>
      </c>
      <c r="C1560" s="207" t="str" cm="1">
        <f t="array" ref="C1560">IF(OR(D1537=0,D1538="　"),"",IF(MID(D1538,4,1)="5","G5"&amp;_xlfn.SWITCH(1*MID(LEFT(D1538, LEN(D1538)-1),6,2),1,"01",2,"02",3,"03",4,"04",5,"07",6,"07",7,"07",8,"09",9,"09",10,"12",11,"12",12,"12"),"G6"&amp;_xlfn.SWITCH(1*MID(LEFT(D1538, LEN(D1538)-1),6,2),1,"01",2,"02",3,"03",4,"04",5,"07",6,"07",7,"07",8,"09",9,"09",10,"12",11,"12",12,"12",13,"14",14,"14"))&amp;"、S45C相当"&amp;IF(MID(D1540,1,3)&lt;&gt;"アルミ","、防食：無電解Niめっき",""))</f>
        <v>G504、S45C相当、防食：無電解Niめっき</v>
      </c>
      <c r="D1560" s="208"/>
      <c r="E1560" s="209"/>
      <c r="F1560" s="217" t="str">
        <f t="shared" si="61"/>
        <v>n=1</v>
      </c>
      <c r="G1560" s="218"/>
      <c r="H1560" s="219"/>
      <c r="I1560" s="213" t="s">
        <v>13</v>
      </c>
      <c r="J1560" s="220" t="str">
        <f>IF(OR(D1537=0,D1538="　"),"",MID(F1560,3,2))</f>
        <v>1</v>
      </c>
      <c r="K1560" s="214">
        <f>IFERROR(D1537*J1560,"")</f>
        <v>10</v>
      </c>
    </row>
    <row r="1561" spans="2:11" ht="12" customHeight="1">
      <c r="B1561" s="206" t="s">
        <v>152</v>
      </c>
      <c r="C1561" s="207" t="str" cm="1">
        <f t="array" ref="C1561">IF(OR(D1537=0,D1538="　"),"",IF(MID(D1538,4,1)="5","G5"&amp;_xlfn.SWITCH(1*MID(LEFT(D1538, LEN(D1538)-1),6,2),1,"01",2,"02",3,"03",4,"04",5,"07",6,"07",7,"07",8,"09",9,"09",10,"12",11,"12",12,"12"),"G6"&amp;_xlfn.SWITCH(1*MID(LEFT(D1538, LEN(D1538)-1),6,2),1,"01",2,"02",3,"03",4,"04",5,"07",6,"07",7,"07",8,"09",9,"09",10,"12",11,"12",12,"12",13,"14",14,"14"))&amp;"、S45C相当"&amp;IF(MID(D1540,1,3)&lt;&gt;"アルミ","、防食：無電解Niめっき",""))</f>
        <v>G504、S45C相当、防食：無電解Niめっき</v>
      </c>
      <c r="D1561" s="208"/>
      <c r="E1561" s="209"/>
      <c r="F1561" s="217" t="str">
        <f t="shared" si="61"/>
        <v>n=1</v>
      </c>
      <c r="G1561" s="218"/>
      <c r="H1561" s="219"/>
      <c r="I1561" s="213" t="s">
        <v>13</v>
      </c>
      <c r="J1561" s="220" t="str">
        <f>IF(OR(D1537=0,D1538="　"),"",MID(F1561,3,2))</f>
        <v>1</v>
      </c>
      <c r="K1561" s="214">
        <f>IFERROR(D1537*J1561,"")</f>
        <v>10</v>
      </c>
    </row>
    <row r="1562" spans="2:11" ht="12" customHeight="1">
      <c r="B1562" s="206" t="s">
        <v>7</v>
      </c>
      <c r="C1562" s="207" t="str">
        <f>IF(OR(D1537=0,D1538="　"),"",IF(1*MID(D1538,4,1)=5,"ECF12.7","ECF15.2")&amp;"、SCM415相当"&amp;IF(MID(D1540,1,3)&lt;&gt;"アルミ","、防食：無電解Niめっき",""))</f>
        <v>ECF12.7、SCM415相当、防食：無電解Niめっき</v>
      </c>
      <c r="D1562" s="208"/>
      <c r="E1562" s="209"/>
      <c r="F1562" s="217" t="str">
        <f t="shared" si="61"/>
        <v>n=1</v>
      </c>
      <c r="G1562" s="218"/>
      <c r="H1562" s="219"/>
      <c r="I1562" s="213" t="s">
        <v>27</v>
      </c>
      <c r="J1562" s="220" t="str">
        <f>IF(OR(D1537=0,D1538="　"),"",MID(F1562,3,2))</f>
        <v>1</v>
      </c>
      <c r="K1562" s="214">
        <f>IFERROR(D1537*J1562,"")</f>
        <v>10</v>
      </c>
    </row>
    <row r="1563" spans="2:11" ht="12" customHeight="1">
      <c r="B1563" s="206" t="s">
        <v>153</v>
      </c>
      <c r="C1563" s="207" t="str" cm="1">
        <f t="array" ref="C1563">IF(OR(D1537=0,D1538="　"),"",IF(MID(D1538,4,1)="5","G5"&amp;_xlfn.SWITCH(1*MID(LEFT(D1538, LEN(D1538)-1),6,2),1,"01",2,"04",3,"03",4,"04",5,"07",6,"07",7,"07",8,"12",9,"12",10,"12",11,"12",12,"12"),"G6"&amp;_xlfn.SWITCH(1*MID(LEFT(D1538, LEN(D1538)-1),6,2),1,"01",2,"02",3,"03",4,"04",5,"07",6,"07",7,"07",8,"12",9,"12",10,"12",11,"12",12,"12",13,"14",14,"14"))&amp;"、SS400相当、防食："&amp;_xlfn.IFS(MID(D1539,1,3)="防食Ⅱ","HDZT77めっき",MID(D1539,5,2)="塩害","ｱﾙﾐﾅｲｽﾞ処理",MID(D1539,5,2)="酸性","重防食処理"))</f>
        <v>G504、SS400相当、防食：HDZT77めっき</v>
      </c>
      <c r="D1563" s="208"/>
      <c r="E1563" s="209"/>
      <c r="F1563" s="217" t="str">
        <f t="shared" si="61"/>
        <v>n=1</v>
      </c>
      <c r="G1563" s="218"/>
      <c r="H1563" s="219"/>
      <c r="I1563" s="213" t="s">
        <v>16</v>
      </c>
      <c r="J1563" s="220" t="str">
        <f>IF(OR(D1537=0,D1538="　"),"",MID(F1563,3,2))</f>
        <v>1</v>
      </c>
      <c r="K1563" s="214">
        <f>IFERROR(D1537*J1563,"")</f>
        <v>10</v>
      </c>
    </row>
    <row r="1564" spans="2:11" ht="12" customHeight="1">
      <c r="B1564" s="206" t="str">
        <f>IF(MID(D1541,1,3)="のり面","管付","")&amp;"支圧板"</f>
        <v>管付支圧板</v>
      </c>
      <c r="C1564" s="221" t="str" cm="1">
        <f t="array" ref="C1564">IF(OR(D1537=0,D1538="　"),"","PL"&amp;IF(MID(D1541,1,3)="のり面","P","")&amp;IF(MID(D1538,4,1)="5","5-"&amp;_xlfn.SWITCH(1*MID(LEFT(D1538, LEN(D1538)-1),6,2),1,"1",2,"2",3,"3",4,"4",5,"5",6,"6",7,"7",8,"9",9,"9",10,"10",11,"11",12,"12"),"6-"&amp;_xlfn.SWITCH(1*MID(LEFT(D1538, LEN(D1538)-1),6,2),1,"1",2,"2",3,"3",4,"4",5,"6",6,"6",7,"7",8,"8",9,"9",10,"10",11,"11",12,"12",13,"14",14,"14"))&amp;"、SS400相当、防食："&amp;_xlfn.IFS(MID(D1539,1,3)="防食Ⅱ","HDZT77めっき",MID(D1539,5,2)="塩害","ｱﾙﾐﾅｲｽﾞ処理",MID(D1539,5,2)="酸性","重防食処理"))</f>
        <v>PLP5-4、SS400相当、防食：HDZT77めっき</v>
      </c>
      <c r="D1564" s="208"/>
      <c r="E1564" s="209"/>
      <c r="F1564" s="217" t="str">
        <f t="shared" si="61"/>
        <v>n=1</v>
      </c>
      <c r="G1564" s="218"/>
      <c r="H1564" s="219"/>
      <c r="I1564" s="213" t="s">
        <v>16</v>
      </c>
      <c r="J1564" s="220" t="str">
        <f>IF(OR(D1537=0,D1538="　"),"",MID(F1564,3,2))</f>
        <v>1</v>
      </c>
      <c r="K1564" s="214">
        <f>IFERROR(D1537*J1564,"")</f>
        <v>10</v>
      </c>
    </row>
    <row r="1565" spans="2:11" ht="12" customHeight="1">
      <c r="B1565" s="206" t="s">
        <v>154</v>
      </c>
      <c r="C1565" s="207" t="str">
        <f>IF(OR(D1537=0,D1538="　"),"","G"&amp;MID(LEFT(D1538, LEN(D1538)-1),4,4)&amp;"、NBR45相当")</f>
        <v>G5-4、NBR45相当</v>
      </c>
      <c r="D1565" s="208"/>
      <c r="E1565" s="209"/>
      <c r="F1565" s="217" t="str">
        <f t="shared" si="61"/>
        <v>n=1</v>
      </c>
      <c r="G1565" s="218"/>
      <c r="H1565" s="219"/>
      <c r="I1565" s="213" t="s">
        <v>13</v>
      </c>
      <c r="J1565" s="220" t="str">
        <f>IF(OR(D1537=0,D1538="　"),"",MID(F1565,3,2))</f>
        <v>1</v>
      </c>
      <c r="K1565" s="214">
        <f>IFERROR(D1537*J1565,"")</f>
        <v>10</v>
      </c>
    </row>
    <row r="1566" spans="2:11" ht="12" customHeight="1">
      <c r="B1566" s="206" t="str" cm="1">
        <f t="array" ref="B1566">_xlfn.IFS(OR(D1537=0,D1538="　"),"",MID(D1540,1,3)="アルミ","頭部防錆油",MID(D1540,1,3)&lt;&gt;"アルミ","余長キャップ")</f>
        <v>余長キャップ</v>
      </c>
      <c r="C1566" s="221" t="str" cm="1">
        <f t="array" ref="C1566">_xlfn.IFS(OR(D1537=0,D1538="　"),"",MID(D1540,1,3)="アルミ","PCコートC",MID(D1540,1,3)&lt;&gt;"アルミ","TC"&amp;MID(D1538,4,1)&amp;"、高密度ポチエチレン")</f>
        <v>TC5、高密度ポチエチレン</v>
      </c>
      <c r="D1566" s="208"/>
      <c r="E1566" s="209"/>
      <c r="F1566" s="217" t="str" cm="1">
        <f t="array" ref="F1566">_xlfn.IFS(OR(D1537=0,D1538="　"),"",MID(D1540,1,3)="アルミ","W="&amp;IF(MID(D1538,4,1)="5",_xlfn.SWITCH(1*MID(LEFT(D1538, LEN(D1538)-1),6,2),1,1.9,2,1.3,3,1.3,4,1.3,5,1.6,6,1.6,7,1.6,8,3.1,9,3.1,10,3.1,11,3.1,12,3.1),"G6"&amp;_xlfn.SWITCH(1*MID(LEFT(D1538, LEN(D1538)-1),6,2),1,1.8,2,1.3,3,1.8,4,1.8,5,3.3,6,3.3,7,3.3,8,9.9,9,9.9,10,9.9,11,9.9,12,9.9,13,9.9,14,9.9)),MID(D1540,1,3)&lt;&gt;"アルミ","n=1")</f>
        <v>n=1</v>
      </c>
      <c r="G1566" s="218"/>
      <c r="H1566" s="219"/>
      <c r="I1566" s="213" t="str" cm="1">
        <f t="array" ref="I1566">_xlfn.IFS(OR(D1537=0,D1538="　"),"",MID(D1540,1,3)="アルミ","kg",MID(D1540,1,3)&lt;&gt;"アルミ","式")</f>
        <v>式</v>
      </c>
      <c r="J1566" s="220" t="str">
        <f>IF(OR(D1537=0,D1538="　"),"",MID(F1566,3,4))</f>
        <v>1</v>
      </c>
      <c r="K1566" s="214">
        <f>IFERROR(D1537*J1566,"")</f>
        <v>10</v>
      </c>
    </row>
    <row r="1567" spans="2:11" ht="12" customHeight="1">
      <c r="B1567" s="206" t="s">
        <v>9</v>
      </c>
      <c r="C1567" s="207" t="str" cm="1">
        <f t="array" ref="C1567">IF(OR(D1537=0,D1538="　"),"",IF(MID(D1538,4,1)="5","PS5-"&amp;_xlfn.SWITCH(1*MID(LEFT(D1538, LEN(D1538)-1),6,2),1,"7",2,"2",3,"3",4,"4",5,"7",6,"7",7,"7",8,"12",9,"12",10,"12",11,"12",12,"12"),"PS6-"&amp;_xlfn.SWITCH(1*MID(LEFT(D1538, LEN(D1538)-1),6,2),1,"7",2,"2",3,"3",4,"4",5,"7",6,"7",7,"7",8,"12",9,"12",10,"12",11,"12",12,"12",13,"14",14,"14"))&amp;"、高密度ポリエチレン")</f>
        <v>PS5-4、高密度ポリエチレン</v>
      </c>
      <c r="D1567" s="208"/>
      <c r="E1567" s="209"/>
      <c r="F1567" s="217" t="str">
        <f>"n=2"</f>
        <v>n=2</v>
      </c>
      <c r="G1567" s="218"/>
      <c r="H1567" s="219"/>
      <c r="I1567" s="213" t="s">
        <v>13</v>
      </c>
      <c r="J1567" s="220" t="str">
        <f>IF(OR(D1537=0,D1538="　"),"",MID(F1567,3,2))</f>
        <v>2</v>
      </c>
      <c r="K1567" s="214">
        <f>IFERROR(D1537*J1567,"")</f>
        <v>20</v>
      </c>
    </row>
    <row r="1568" spans="2:11" ht="12" customHeight="1">
      <c r="B1568" s="206" t="s">
        <v>2</v>
      </c>
      <c r="C1568" s="207" t="str" cm="1">
        <f t="array" ref="C1568">IF(OR(D1537=0,D1538="　"),"",IF(MID(D1538,4,1)="5","S5-"&amp;_xlfn.IFS(1*MID(LEFT(D1538, LEN(D1538)-1),6,2)&lt;6,"5",1*MID(LEFT(D1538, LEN(D1538)-1),6,2)&lt;9,"8",1*MID(LEFT(D1538, LEN(D1538)-1),6,2)&gt;8,"12"),"S6-"&amp;_xlfn.IFS(1*MID(LEFT(D1538, LEN(D1538)-1),6,2)&lt;4,"3",1*MID(LEFT(D1538, LEN(D1538)-1),6,2)&lt;7,"6",1*MID(LEFT(D1538, LEN(D1538)-1),6,2)&lt;10,"9",1*MID(LEFT(D1538, LEN(D1538)-1),6,2)&lt;13,"12",1*MID(LEFT(D1538, LEN(D1538)-1),6,2)&gt;12,"14"))&amp;"、ポリプロピレン")</f>
        <v>S5-5、ポリプロピレン</v>
      </c>
      <c r="D1568" s="208"/>
      <c r="E1568" s="209"/>
      <c r="F1568" s="222" t="s">
        <v>155</v>
      </c>
      <c r="G1568" s="211"/>
      <c r="H1568" s="212"/>
      <c r="I1568" s="213" t="s">
        <v>13</v>
      </c>
      <c r="J1568" s="206">
        <f>IF(OR(D1537=0,D1538="　"),"",MROUND((D1546-0.4)/1,1))</f>
        <v>4</v>
      </c>
      <c r="K1568" s="214">
        <f>IFERROR(D1537*J1568,"")</f>
        <v>40</v>
      </c>
    </row>
    <row r="1569" spans="2:11" ht="12" customHeight="1">
      <c r="B1569" s="206" t="s">
        <v>1</v>
      </c>
      <c r="C1569" s="207" t="str" cm="1">
        <f t="array" ref="C1569">IF(OR(D1537=0,D1538="　"),"",IF(MID(D1538,4,1)="5","PC5-"&amp;_xlfn.IFS(1*MID(LEFT(D1538, LEN(D1538)-1),6,2)&lt;5,"4",1*MID(LEFT(D1538, LEN(D1538)-1),6,2)&lt;8,"7",1*MID(LEFT(D1538, LEN(D1538)-1),6,2)&lt;10,"9",1*MID(LEFT(D1538, LEN(D1538)-1),6,2)&gt;9,"12"),"PC6-"&amp;_xlfn.IFS(1*MID(LEFT(D1538, LEN(D1538)-1),6,2)&lt;4,"3",1*MID(LEFT(D1538, LEN(D1538)-1),6,2)&lt;8,"7",1*MID(LEFT(D1538, LEN(D1538)-1),6,2)&lt;13,"12",1*MID(LEFT(D1538, LEN(D1538)-1),6,2)&gt;12,"14"))&amp;"、ポリプロピレン")</f>
        <v>PC5-4、ポリプロピレン</v>
      </c>
      <c r="D1569" s="208"/>
      <c r="E1569" s="209"/>
      <c r="F1569" s="217" t="str">
        <f>"n=1"</f>
        <v>n=1</v>
      </c>
      <c r="G1569" s="218"/>
      <c r="H1569" s="219"/>
      <c r="I1569" s="213" t="s">
        <v>13</v>
      </c>
      <c r="J1569" s="220" t="str">
        <f>IF(OR(D1537=0,D1538="　"),"",MID(F1569,3,2))</f>
        <v>1</v>
      </c>
      <c r="K1569" s="214">
        <f>IFERROR(D1537*J1569,"")</f>
        <v>10</v>
      </c>
    </row>
    <row r="1570" spans="2:11" ht="12" customHeight="1">
      <c r="B1570" s="206" t="s">
        <v>3</v>
      </c>
      <c r="C1570" s="207" t="str">
        <f>IF(OR(D1537=0,D1538="　"),"","66ナイロン")</f>
        <v>66ナイロン</v>
      </c>
      <c r="D1570" s="208"/>
      <c r="E1570" s="209"/>
      <c r="F1570" s="222" t="s">
        <v>156</v>
      </c>
      <c r="G1570" s="211"/>
      <c r="H1570" s="212"/>
      <c r="I1570" s="213" t="s">
        <v>14</v>
      </c>
      <c r="J1570" s="206">
        <f>IF(OR(D1537=0,D1538="　"),"",2*J1568)</f>
        <v>8</v>
      </c>
      <c r="K1570" s="214">
        <f>IFERROR(D1537*J1570,"")</f>
        <v>80</v>
      </c>
    </row>
    <row r="1571" spans="2:11" ht="12" customHeight="1">
      <c r="B1571" s="206" t="s">
        <v>4</v>
      </c>
      <c r="C1571" s="207" t="str">
        <f>IF(OR(D1537=0,D1538="　"),"","フィラメントテープ")</f>
        <v>フィラメントテープ</v>
      </c>
      <c r="D1571" s="208"/>
      <c r="E1571" s="209"/>
      <c r="F1571" s="222" t="str">
        <f>IF(OR(D1537=0,D1538="　"),"","L=((自由長+緊張部長)÷@1.0m)×テープ係数"&amp;IF(MID(D1538,4,1)="5",_xlfn.IFS(1*MID(LEFT(D1538, LEN(D1538)-1),6,2)&lt;4,"0.8",1*MID(LEFT(D1538, LEN(D1538)-1),6,2)&lt;7,"1.0",1*MID(LEFT(D1538, LEN(D1538)-1),6,2)&lt;10,"1.2",1*MID(LEFT(D1538, LEN(D1538)-1),6,2)&lt;13,"1.4"),_xlfn.IFS(1*MID(LEFT(D1538, LEN(D1538)-1),6,2)&lt;4,"1.0",1*MID(LEFT(D1538, LEN(D1538)-1),6,2)&lt;7,"1.2",1*MID(LEFT(D1538, LEN(D1538)-1),6,2)&lt;10,"1.4",1*MID(LEFT(D1538, LEN(D1538)-1),6,2)&lt;15,"1.8")))</f>
        <v>L=((自由長+緊張部長)÷@1.0m)×テープ係数1.0</v>
      </c>
      <c r="G1571" s="211"/>
      <c r="H1571" s="212"/>
      <c r="I1571" s="213" t="s">
        <v>12</v>
      </c>
      <c r="J1571" s="223">
        <f>IF(OR(D1537=0,D1538="　"),"",MROUND((SUM(D1547,D1548))/1*RIGHT(F1571, 3),0.1))</f>
        <v>5.5</v>
      </c>
      <c r="K1571" s="214">
        <f>IFERROR(D1537*J1571,"")</f>
        <v>55</v>
      </c>
    </row>
    <row r="1572" spans="2:11" ht="12" customHeight="1">
      <c r="B1572" s="206" t="s">
        <v>0</v>
      </c>
      <c r="C1572" s="207" t="str">
        <f>IF(OR(D1537=0,D1538="　"),"","16/20、高密度ポリエチレン")</f>
        <v>16/20、高密度ポリエチレン</v>
      </c>
      <c r="D1572" s="208"/>
      <c r="E1572" s="209"/>
      <c r="F1572" s="210" t="s">
        <v>33</v>
      </c>
      <c r="G1572" s="211"/>
      <c r="H1572" s="212"/>
      <c r="I1572" s="213" t="s">
        <v>12</v>
      </c>
      <c r="J1572" s="214">
        <f>IF(OR(D1537=0,D1538="　"),"",MROUND(D1550,0.1))</f>
        <v>9.7000000000000011</v>
      </c>
      <c r="K1572" s="214">
        <f>IFERROR(D1537*J1572,"")</f>
        <v>97.000000000000014</v>
      </c>
    </row>
    <row r="1573" spans="2:11" ht="12" customHeight="1">
      <c r="B1573" s="206" t="str" cm="1">
        <f t="array" ref="B1573">_xlfn.IFS(OR(D1537=0,D1538="　",MID(D1541,1,2)="なし",MID(D1541,1,3)="受圧体"),"",MID(D1541,1,3)="のり面","のり面角度台座",MID(D1541,1,3)="構造物","構造物壁面台座",MID(D1541,1,3)="土留め","土留め台座")</f>
        <v>のり面角度台座</v>
      </c>
      <c r="C1573" s="210" t="str" cm="1">
        <f t="array" ref="C1573">IF(OR(D1537=0,D1538="　",MID(D1541,1,2)="なし",MID(D1541,1,3)="受圧体"),"",_xlfn.IFS(MID(D1541,1,3)="のり面",IF(1*MID(D1538,4,1)=5,_xlfn.IFS(1*MID(LEFT(D1538, LEN(D1538)-1),6,2)&lt;5,"ST140",1*MID(LEFT(D1538, LEN(D1538)-1),6,2)&lt;8,"ST170",1*MID(LEFT(D1538, LEN(D1538)-1),6,2)&lt;13,"ST220"),_xlfn.IFS(1*MID(LEFT(D1538, LEN(D1538)-1),6,2)&lt;4,"ST140",1*MID(LEFT(D1538, LEN(D1538)-1),6,2)&lt;5,"ST170",1*MID(LEFT(D1538, LEN(D1538)-1),6,2)&lt;8,"ST220",1*MID(LEFT(D1538, LEN(D1538)-1),6,2)&lt;15,"非該当"))&amp;"、FCD450相当、防食："&amp;_xlfn.IFS(MID(D1539,1,3)="防食Ⅱ","HDZT77めっき",MID(D1539,5,2)="塩害","ｱﾙﾐﾅｲｽﾞ処理",MID(D1539,5,2)="酸性","重防食処理"),OR(MID(D1541,1,3)="構造物",MID(D1541,1,3)="土留め"),D1538&amp;"用"&amp;IF(OR(MID(D1541,1,3)="構造物",D1542="　"),"",D1542)&amp;"、防食："&amp;_xlfn.IFS(MID(D1539,1,3)="防食Ⅱ","HDZT77めっき",MID(D1539,5,2)="塩害","ｱﾙﾐﾅｲｽﾞ処理",MID(D1539,5,2)="酸性","重防食処理")))</f>
        <v>ST140、FCD450相当、防食：HDZT77めっき</v>
      </c>
      <c r="D1573" s="208"/>
      <c r="E1573" s="209"/>
      <c r="F1573" s="217" t="str">
        <f>IF(OR(D1541="なし",D1541="受圧体のみ"),"","n=1")</f>
        <v>n=1</v>
      </c>
      <c r="G1573" s="218"/>
      <c r="H1573" s="219"/>
      <c r="I1573" s="213" t="str">
        <f>IF(OR(D1537=0,D1538="　",B1573=""),"","台")</f>
        <v>台</v>
      </c>
      <c r="J1573" s="220" t="str">
        <f>IF(OR(D1537=0,D1538="　"),"",MID(F1573,3,2))</f>
        <v>1</v>
      </c>
      <c r="K1573" s="214">
        <f>IFERROR(D1537*J1573,"")</f>
        <v>10</v>
      </c>
    </row>
    <row r="1574" spans="2:11" ht="12" customHeight="1">
      <c r="B1574" s="206" t="str">
        <f>IF(OR(D1537=0,D1538="　",MID(D1541,1,3)&lt;&gt;"のり面"),"","補剛板")</f>
        <v>補剛板</v>
      </c>
      <c r="C1574" s="210" t="str" cm="1">
        <f t="array" ref="C1574">IF(OR(D1537=0,D1538="　",MID(D1541,1,3)&lt;&gt;"のり面"),"",IF(MID(D1538,4,1)="5","□"&amp;_xlfn.SWITCH(1*MID(LEFT(D1538, LEN(D1538)-1),6,2),1,"210φ131t12",2,"210φ131t12",3,"240φ131t12",4,"270φ131t12",5,"280φ143t12",6,"310φ143t16",7,"350φ143t19",8,"350φ180t19",9,"350φ180t19",10,"350φ180t19",11,"350φ180t22",12,"350φ180t22"),"□"&amp;_xlfn.SWITCH(1*MID(LEFT(D1538, LEN(D1538)-1),6,2),1,"210,φ131,t12",2,"240,φ131,t12",3,"270,φ131,t16",4,"300,φ143,t16",5,"350,φ180,t16",6,"350,φ180,t16",7,"350,φ180,t19",8,"400,φ──,t12",9,"400,φ──,t12",10,"400,φ──,t12",11,"400,φ──,t12",12,"400,φ──,t12",13,"400,φ──,t12",14,"400,φ──,t12"))&amp;"、SS400相当、防食："&amp;_xlfn.IFS(MID(D1539,1,3)="防食Ⅱ","HDZT77めっき",MID(D1539,5,2)="塩害","ｱﾙﾐﾅｲｽﾞ処理",MID(D1539,5,2)="酸性","重防食処理"))</f>
        <v>□270φ131t12、SS400相当、防食：HDZT77めっき</v>
      </c>
      <c r="D1574" s="208"/>
      <c r="E1574" s="209"/>
      <c r="F1574" s="217" t="str">
        <f>IF(OR(D1537=0,D1538="　",MID(D1541,1,3)&lt;&gt;"のり面"),"","n=1")</f>
        <v>n=1</v>
      </c>
      <c r="G1574" s="218"/>
      <c r="H1574" s="219"/>
      <c r="I1574" s="213" t="str">
        <f>IF(OR(D1537=0,D1538="　",B1574="",MID(D1541,1,3)&lt;&gt;"のり面"),"","枚")</f>
        <v>枚</v>
      </c>
      <c r="J1574" s="220" t="str">
        <f>IF(OR(D1537=0,D1538="　"),"",MID(F1574,3,2))</f>
        <v>1</v>
      </c>
      <c r="K1574" s="214">
        <f>IFERROR(D1537*J1574,"")</f>
        <v>10</v>
      </c>
    </row>
    <row r="1575" spans="2:11" ht="12" customHeight="1">
      <c r="B1575" s="206" t="str" cm="1">
        <f t="array" ref="B1575">_xlfn.IFS(OR(D1537=0,D1538="　"),"",MID(D1540,1,3)="アルミ","",MID(D1540,1,3)&lt;&gt;"アルミ","テンドン補修用塗料")</f>
        <v>テンドン補修用塗料</v>
      </c>
      <c r="C1575" s="210" t="str" cm="1">
        <f t="array" ref="C1575">_xlfn.IFS(OR(D1537=0,D1538="　"),"",MID(D1540,1,3)="アルミ","",MID(D1540,1,3)&lt;&gt;"アルミ","エポキシ樹脂")</f>
        <v>エポキシ樹脂</v>
      </c>
      <c r="D1575" s="208"/>
      <c r="E1575" s="209"/>
      <c r="F1575" s="217" t="str" cm="1">
        <f t="array" ref="F1575">_xlfn.IFS(OR(D1537=0,D1538="　"),"",MID(D1540,1,3)="アルミ","",MID(D1540,1,3)&lt;&gt;"アルミ","W=PC鋼より線本数×"&amp;IF(MID(D1538,4,1)="5","0.28","0.40"))</f>
        <v>W=PC鋼より線本数×0.28</v>
      </c>
      <c r="G1575" s="218"/>
      <c r="H1575" s="219"/>
      <c r="I1575" s="213" t="str" cm="1">
        <f t="array" ref="I1575">_xlfn.IFS(OR(D1537=0,D1538="　"),"",MID(D1540,1,3)="アルミ","",MID(D1540,1,3)&lt;&gt;"アルミ","g")</f>
        <v>g</v>
      </c>
      <c r="J1575" s="224" cm="1">
        <f t="array" ref="J1575">_xlfn.IFS(OR(D1537=0,D1538="　"),"",MID(D1540,1,3)="アルミ","",MID(D1540,1,3)&lt;&gt;"アルミ",MID(LEFT(D1538, LEN(D1538)-1),6,2)*IF(MID(D1538,4,1)="5",0.28,0.4))</f>
        <v>1.1200000000000001</v>
      </c>
      <c r="K1575" s="214">
        <f>IFERROR(D1537*J1575,"")</f>
        <v>11.200000000000001</v>
      </c>
    </row>
    <row r="1576" spans="2:11" ht="12" customHeight="1">
      <c r="B1576" s="206" t="str" cm="1">
        <f t="array" ref="B1576">_xlfn.IFS(OR(D1537=0,D1538="　"),"",MID(D1540,1,3)="アルミ","",MID(D1540,1,3)&lt;&gt;"アルミ","長期防錆スプレー")</f>
        <v>長期防錆スプレー</v>
      </c>
      <c r="C1576" s="210" t="str" cm="1">
        <f t="array" ref="C1576">_xlfn.IFS(OR(D1537=0,D1538="　"),"",MID(D1540,1,3)="アルミ","",MID(D1540,1,3)&lt;&gt;"アルミ","防錆オイル")</f>
        <v>防錆オイル</v>
      </c>
      <c r="D1576" s="208"/>
      <c r="E1576" s="209"/>
      <c r="F1576" s="217" t="str" cm="1">
        <f t="array" ref="F1576">_xlfn.IFS(OR(D1537=0,D1538="　"),"",MID(D1540,1,3)="アルミ","",MID(D1540,1,3)&lt;&gt;"アルミ","n=0.01×(PC鋼より線本数+"&amp;IF(MID(D1538,4,1)="5","6","12")&amp;")")</f>
        <v>n=0.01×(PC鋼より線本数+6)</v>
      </c>
      <c r="G1576" s="218"/>
      <c r="H1576" s="219"/>
      <c r="I1576" s="213" t="str" cm="1">
        <f t="array" ref="I1576">_xlfn.IFS(OR(D1537=0,D1538="　"),"",MID(D1540,1,3)="アルミ","",MID(D1540,1,3)&lt;&gt;"アルミ","缶")</f>
        <v>缶</v>
      </c>
      <c r="J1576" s="224" cm="1">
        <f t="array" ref="J1576">_xlfn.IFS(OR(D1537=0,D1538="　"),"",MID(D1540,1,3)="アルミ","",MID(D1540,1,3)&lt;&gt;"アルミ",0.01*(MID(LEFT(D1538, LEN(D1538)-1),6,2)+IF(MID(D1538,4,1)="5",6,12)))</f>
        <v>0.1</v>
      </c>
      <c r="K1576" s="214">
        <f>IFERROR(D1537*J1576,"")</f>
        <v>1</v>
      </c>
    </row>
    <row r="1577" spans="2:11" ht="12" customHeight="1">
      <c r="B1577" s="206" t="str">
        <f>IF(OR(D1537=0,D1538="　",D1543="なし"),"","フリーパッカー注入ホース")</f>
        <v/>
      </c>
      <c r="C1577" s="207" t="str">
        <f>IF(OR(D1537=0,D1538="　",B1577=""),"","16/20、高密度ポリエチレン")</f>
        <v/>
      </c>
      <c r="D1577" s="208"/>
      <c r="E1577" s="209"/>
      <c r="F1577" s="210" t="str">
        <f>IF(B1577="","","L=自由長+緊張部長")</f>
        <v/>
      </c>
      <c r="G1577" s="211"/>
      <c r="H1577" s="212"/>
      <c r="I1577" s="213" t="str">
        <f>IF(OR(D1537=0,D1538="　",B1577=""),"","m")</f>
        <v/>
      </c>
      <c r="J1577" s="214" t="str">
        <f>IF(OR(D1537=0,D1538="　"),"",IF(B1577="","",MROUND(D1547+D1548,0.1)))</f>
        <v/>
      </c>
      <c r="K1577" s="214" t="str">
        <f>IFERROR(D1537*J1577,"")</f>
        <v/>
      </c>
    </row>
    <row r="1578" spans="2:11" ht="12" customHeight="1">
      <c r="B1578" s="225" t="str">
        <f>IF(OR(D1537=0,D1538="　",D1543="なし"),"","フリーパッカー")</f>
        <v/>
      </c>
      <c r="C1578" s="217" t="str" cm="1">
        <f t="array" ref="C1578">IF(OR(D1537=0,D1538="　",B1577=""),"",_xlfn.SWITCH(D1552,90,"PA-170",115,"PA-200",135,"PA-240",146,"PA-240",165,"PA-350")&amp;"、織布")</f>
        <v/>
      </c>
      <c r="D1578" s="208"/>
      <c r="E1578" s="209"/>
      <c r="F1578" s="226" t="str">
        <f>IF(B1578="","","L=自由長+0.5m")</f>
        <v/>
      </c>
      <c r="G1578" s="227"/>
      <c r="H1578" s="228"/>
      <c r="I1578" s="213" t="str">
        <f>IF(OR(D1538=0,D1539="　",B1578=""),"","m")</f>
        <v/>
      </c>
      <c r="J1578" s="214" t="str">
        <f>IF(OR(D1537=0,D1538="　"),"",IF(B1578="","",MROUND(D1547+0.5,0.1)))</f>
        <v/>
      </c>
      <c r="K1578" s="214" t="str">
        <f>IFERROR(D1537*J1578,"")</f>
        <v/>
      </c>
    </row>
    <row r="1579" spans="2:11" ht="12" customHeight="1">
      <c r="B1579" s="206" t="str">
        <f>IF(OR(D1537=0,D1538="　",D1543="なし"),"","パッカー取付加工")</f>
        <v/>
      </c>
      <c r="C1579" s="207"/>
      <c r="D1579" s="208"/>
      <c r="E1579" s="209"/>
      <c r="F1579" s="217" t="str">
        <f>IF(B1579="","","n=1")</f>
        <v/>
      </c>
      <c r="G1579" s="218"/>
      <c r="H1579" s="219"/>
      <c r="I1579" s="213" t="str">
        <f>IF(OR(D1539=0,D1540="　",B1579=""),"","式")</f>
        <v/>
      </c>
      <c r="J1579" s="220" t="str">
        <f>IF(OR(D1537=0,D1538="　"),"",MID(F1579,3,2))</f>
        <v/>
      </c>
      <c r="K1579" s="206" t="str">
        <f>IFERROR(D1537*J1579,"")</f>
        <v/>
      </c>
    </row>
    <row r="1580" spans="2:11" ht="12" customHeight="1">
      <c r="B1580" s="229"/>
      <c r="C1580" s="230"/>
      <c r="D1580" s="231"/>
      <c r="E1580" s="232"/>
      <c r="F1580" s="233"/>
      <c r="G1580" s="234"/>
      <c r="H1580" s="235"/>
      <c r="I1580" s="236"/>
      <c r="J1580" s="237"/>
      <c r="K1580" s="229"/>
    </row>
    <row r="1581" spans="2:11" ht="12" customHeight="1">
      <c r="B1581" s="238" t="s">
        <v>30</v>
      </c>
      <c r="C1581" s="239" t="s">
        <v>31</v>
      </c>
      <c r="D1581" s="240"/>
      <c r="E1581" s="241"/>
      <c r="F1581" s="242" t="s">
        <v>157</v>
      </c>
      <c r="G1581" s="243"/>
      <c r="H1581" s="244"/>
      <c r="I1581" s="245" t="s">
        <v>55</v>
      </c>
      <c r="J1581" s="246">
        <f>IFERROR(MROUND(0.25*PI()*(0.001*D1552)^2*(D1545+D1546+D1551)*(1+2.2),0.01),"")</f>
        <v>0.17</v>
      </c>
      <c r="K1581" s="246">
        <f>IFERROR(D1537*J1581,"")</f>
        <v>1.7000000000000002</v>
      </c>
    </row>
    <row r="1583" spans="2:11" ht="12" customHeight="1">
      <c r="B1583" s="247" t="s">
        <v>136</v>
      </c>
      <c r="C1583" s="247"/>
      <c r="D1583" s="247"/>
      <c r="F1583" s="163"/>
      <c r="G1583" s="164"/>
      <c r="H1583" s="164"/>
    </row>
    <row r="1584" spans="2:11" ht="12" customHeight="1">
      <c r="B1584" s="15" t="s">
        <v>111</v>
      </c>
      <c r="C1584" s="15"/>
      <c r="D1584" s="1"/>
      <c r="E1584" s="1"/>
      <c r="H1584" s="119"/>
      <c r="J1584" s="118"/>
    </row>
    <row r="1585" spans="2:11" ht="12" customHeight="1">
      <c r="B1585" s="165" t="s">
        <v>166</v>
      </c>
      <c r="C1585" s="3"/>
      <c r="D1585" s="1"/>
      <c r="E1585" s="1"/>
      <c r="F1585" s="8"/>
      <c r="G1585" s="8"/>
      <c r="H1585" s="102"/>
      <c r="I1585" s="28"/>
      <c r="J1585" s="118"/>
    </row>
    <row r="1586" spans="2:11" ht="12" customHeight="1">
      <c r="B1586" s="15" t="s">
        <v>40</v>
      </c>
      <c r="C1586" s="3"/>
      <c r="D1586" s="1"/>
      <c r="E1586" s="1"/>
      <c r="F1586" s="15" t="s">
        <v>54</v>
      </c>
      <c r="G1586" s="15"/>
      <c r="H1586" s="102"/>
      <c r="I1586" s="28"/>
    </row>
    <row r="1587" spans="2:11" ht="12" customHeight="1">
      <c r="B1587" s="2" t="s">
        <v>53</v>
      </c>
      <c r="C1587" s="2" t="s">
        <v>21</v>
      </c>
      <c r="D1587" s="2" t="s">
        <v>22</v>
      </c>
      <c r="E1587" s="17"/>
      <c r="F1587" s="49" t="s">
        <v>41</v>
      </c>
      <c r="G1587" s="97" t="s">
        <v>59</v>
      </c>
      <c r="H1587" s="49" t="s">
        <v>44</v>
      </c>
      <c r="I1587" s="2" t="s">
        <v>21</v>
      </c>
      <c r="J1587" s="49" t="s">
        <v>138</v>
      </c>
      <c r="K1587" s="2" t="s">
        <v>28</v>
      </c>
    </row>
    <row r="1588" spans="2:11" ht="12" customHeight="1">
      <c r="B1588" s="166" t="s">
        <v>25</v>
      </c>
      <c r="C1588" s="18" t="s">
        <v>24</v>
      </c>
      <c r="D1588" s="167">
        <v>10</v>
      </c>
      <c r="E1588" s="19"/>
      <c r="F1588" s="168" t="s">
        <v>43</v>
      </c>
      <c r="G1588" s="169" t="s">
        <v>113</v>
      </c>
      <c r="H1588" s="88" t="str" cm="1">
        <f t="array" ref="H1588">_xlfn.IFS(AND(F1588&lt;&gt;"非削孔",F1588&lt;&gt;"無設定"),D1603,F1588="非削孔",IF(MID(D1592,1,3)="土留め","非削孔","箱抜き"),F1588="無設定","無設定")</f>
        <v>箱抜き</v>
      </c>
      <c r="I1588" s="23" t="str">
        <f>IF(F1588="無設定","","m")</f>
        <v>m</v>
      </c>
      <c r="J1588" s="170">
        <v>0.5</v>
      </c>
      <c r="K1588" s="30">
        <f>D1588*J1588</f>
        <v>5</v>
      </c>
    </row>
    <row r="1589" spans="2:11" ht="12" customHeight="1">
      <c r="B1589" s="171" t="s">
        <v>37</v>
      </c>
      <c r="C1589" s="50" t="s">
        <v>38</v>
      </c>
      <c r="D1589" s="172" t="s">
        <v>159</v>
      </c>
      <c r="E1589" s="173"/>
      <c r="F1589" s="174" t="s">
        <v>49</v>
      </c>
      <c r="G1589" s="169" t="s">
        <v>114</v>
      </c>
      <c r="H1589" s="88" cm="1">
        <f t="array" ref="H1589">_xlfn.IFS(AND(F1589&lt;&gt;"非削孔",F1589&lt;&gt;"無設定"),D1603,F1589="非削孔","箱抜き",F1589="無設定","無設定")</f>
        <v>90</v>
      </c>
      <c r="I1589" s="23" t="str">
        <f t="shared" ref="I1589:I1597" si="62">IF(F1589="無設定","","m")</f>
        <v>m</v>
      </c>
      <c r="J1589" s="170">
        <v>2.64</v>
      </c>
      <c r="K1589" s="30">
        <f>D1588*J1589</f>
        <v>26.400000000000002</v>
      </c>
    </row>
    <row r="1590" spans="2:11" ht="12" customHeight="1">
      <c r="B1590" s="52" t="s">
        <v>39</v>
      </c>
      <c r="C1590" s="91" t="s">
        <v>38</v>
      </c>
      <c r="D1590" s="175" t="s">
        <v>60</v>
      </c>
      <c r="E1590" s="140"/>
      <c r="F1590" s="174" t="s">
        <v>49</v>
      </c>
      <c r="G1590" s="169" t="s">
        <v>115</v>
      </c>
      <c r="H1590" s="88" cm="1">
        <f t="array" ref="H1590">_xlfn.IFS(AND(F1590&lt;&gt;"非削孔",F1590&lt;&gt;"無設定"),D1603,F1590="非削孔","箱抜き",F1590="無設定","無設定")</f>
        <v>90</v>
      </c>
      <c r="I1590" s="23" t="str">
        <f t="shared" si="62"/>
        <v>m</v>
      </c>
      <c r="J1590" s="170">
        <v>5.36</v>
      </c>
      <c r="K1590" s="30">
        <f>D1588*J1590</f>
        <v>53.6</v>
      </c>
    </row>
    <row r="1591" spans="2:11" ht="12" customHeight="1">
      <c r="B1591" s="147" t="s">
        <v>140</v>
      </c>
      <c r="C1591" s="91" t="s">
        <v>38</v>
      </c>
      <c r="D1591" s="176" t="s">
        <v>141</v>
      </c>
      <c r="E1591" s="141"/>
      <c r="F1591" s="174" t="s">
        <v>48</v>
      </c>
      <c r="G1591" s="169"/>
      <c r="H1591" s="88" t="str" cm="1">
        <f t="array" ref="H1591">_xlfn.IFS(AND(F1591&lt;&gt;"非削孔",F1591&lt;&gt;"無設定"),D1603,F1591="非削孔","箱抜き",F1591="無設定","無設定")</f>
        <v>無設定</v>
      </c>
      <c r="I1591" s="23" t="str">
        <f t="shared" si="62"/>
        <v/>
      </c>
      <c r="J1591" s="170">
        <v>0</v>
      </c>
      <c r="K1591" s="30">
        <f>D1588*J1591</f>
        <v>0</v>
      </c>
    </row>
    <row r="1592" spans="2:11" ht="12" customHeight="1">
      <c r="B1592" s="147" t="s">
        <v>142</v>
      </c>
      <c r="C1592" s="91" t="s">
        <v>38</v>
      </c>
      <c r="D1592" s="177" t="s">
        <v>160</v>
      </c>
      <c r="E1592" s="21"/>
      <c r="F1592" s="174" t="s">
        <v>48</v>
      </c>
      <c r="G1592" s="169"/>
      <c r="H1592" s="88" t="str" cm="1">
        <f t="array" ref="H1592">_xlfn.IFS(AND(F1592&lt;&gt;"非削孔",F1592&lt;&gt;"無設定"),D1603,F1592="非削孔","箱抜き",F1592="無設定","無設定")</f>
        <v>無設定</v>
      </c>
      <c r="I1592" s="23" t="str">
        <f t="shared" si="62"/>
        <v/>
      </c>
      <c r="J1592" s="170">
        <v>0</v>
      </c>
      <c r="K1592" s="30">
        <f>D1588*J1592</f>
        <v>0</v>
      </c>
    </row>
    <row r="1593" spans="2:11" ht="12" customHeight="1">
      <c r="B1593" s="114" t="str">
        <f>IF(MID(D1592,1,3)="土留め",D1592&amp;"の種類","")</f>
        <v/>
      </c>
      <c r="C1593" s="91" t="s">
        <v>38</v>
      </c>
      <c r="D1593" s="178" t="s">
        <v>71</v>
      </c>
      <c r="E1593" s="21"/>
      <c r="F1593" s="174" t="s">
        <v>48</v>
      </c>
      <c r="G1593" s="169"/>
      <c r="H1593" s="88" t="str" cm="1">
        <f t="array" ref="H1593">_xlfn.IFS(AND(F1593&lt;&gt;"非削孔",F1593&lt;&gt;"無設定"),D1603,F1593="非削孔","箱抜き",F1593="無設定","無設定")</f>
        <v>無設定</v>
      </c>
      <c r="I1593" s="23" t="str">
        <f t="shared" si="62"/>
        <v/>
      </c>
      <c r="J1593" s="170">
        <v>0</v>
      </c>
      <c r="K1593" s="30">
        <f>D1588*J1593</f>
        <v>0</v>
      </c>
    </row>
    <row r="1594" spans="2:11" ht="12" customHeight="1">
      <c r="B1594" s="179" t="s">
        <v>50</v>
      </c>
      <c r="C1594" s="180" t="s">
        <v>38</v>
      </c>
      <c r="D1594" s="181" t="s">
        <v>51</v>
      </c>
      <c r="E1594" s="182"/>
      <c r="F1594" s="174" t="s">
        <v>48</v>
      </c>
      <c r="G1594" s="169"/>
      <c r="H1594" s="88" t="str" cm="1">
        <f t="array" ref="H1594">_xlfn.IFS(AND(F1594&lt;&gt;"非削孔",F1594&lt;&gt;"無設定"),D1603,F1594="非削孔","箱抜き",F1594="無設定","無設定")</f>
        <v>無設定</v>
      </c>
      <c r="I1594" s="23" t="str">
        <f t="shared" si="62"/>
        <v/>
      </c>
      <c r="J1594" s="170">
        <v>0</v>
      </c>
      <c r="K1594" s="30">
        <f>D1588*J1594</f>
        <v>0</v>
      </c>
    </row>
    <row r="1595" spans="2:11" ht="12" customHeight="1">
      <c r="B1595" s="160" t="str" cm="1">
        <f t="array" ref="B1595">"頭部自由長"&amp;_xlfn.IFS(MID(D1592,1,2)="なし","",MID(D1592,1,3)="受圧体","(受圧体)",MID(D1592,1,3)="のり面","(角度台座＋受圧体)",MID(D1592,1,3)="構造物","(壁面台座)",MID(D1592,1,3)="土留め","(台座+腹起し)")&amp;"　Lfh"</f>
        <v>頭部自由長(角度台座＋受圧体)　Lfh</v>
      </c>
      <c r="C1595" s="155" t="s">
        <v>23</v>
      </c>
      <c r="D1595" s="183">
        <v>0.5</v>
      </c>
      <c r="E1595" s="21"/>
      <c r="F1595" s="174" t="s">
        <v>144</v>
      </c>
      <c r="G1595" s="169"/>
      <c r="H1595" s="88" cm="1">
        <f t="array" ref="H1595">_xlfn.IFS(AND(F1595&lt;&gt;"非削孔",F1595&lt;&gt;"無設定"),D1603,F1595="非削孔","箱抜き",F1595="無設定","無設定")</f>
        <v>90</v>
      </c>
      <c r="I1595" s="23" t="str">
        <f t="shared" si="62"/>
        <v>m</v>
      </c>
      <c r="J1595" s="170">
        <v>0</v>
      </c>
      <c r="K1595" s="30">
        <f>D1588*J1595</f>
        <v>0</v>
      </c>
    </row>
    <row r="1596" spans="2:11" ht="12" customHeight="1">
      <c r="B1596" s="22" t="s">
        <v>108</v>
      </c>
      <c r="C1596" s="23" t="s">
        <v>23</v>
      </c>
      <c r="D1596" s="184">
        <v>4</v>
      </c>
      <c r="E1596" s="21"/>
      <c r="F1596" s="174" t="s">
        <v>48</v>
      </c>
      <c r="G1596" s="169"/>
      <c r="H1596" s="88" t="str" cm="1">
        <f t="array" ref="H1596">_xlfn.IFS(AND(F1596&lt;&gt;"非削孔",F1596&lt;&gt;"無設定"),D1603,F1596="非削孔","箱抜き",F1596="無設定","無設定")</f>
        <v>無設定</v>
      </c>
      <c r="I1596" s="23" t="str">
        <f t="shared" si="62"/>
        <v/>
      </c>
      <c r="J1596" s="170">
        <v>0</v>
      </c>
      <c r="K1596" s="30">
        <f>D1588*J1596</f>
        <v>0</v>
      </c>
    </row>
    <row r="1597" spans="2:11" ht="12" customHeight="1">
      <c r="B1597" s="157" t="s">
        <v>36</v>
      </c>
      <c r="C1597" s="158" t="s">
        <v>23</v>
      </c>
      <c r="D1597" s="185">
        <v>4</v>
      </c>
      <c r="F1597" s="186" t="str" cm="1">
        <f t="array" ref="F1597">INDEX(F1588:H1596,MATCH("無設定",F1588:F1596,0)-1,MATCH(F1587,F1587:H1587,0))</f>
        <v>軟　岩</v>
      </c>
      <c r="G1597" s="100" t="str" cm="1">
        <f t="array" ref="G1597">INDEX(F1588:H1596,MATCH("無設定",F1588:F1596,0)-1,MATCH(G1587,F1587:H1587,0))&amp;"　(先端長 L2d)"</f>
        <v>風化岩 CL　(先端長 L2d)</v>
      </c>
      <c r="H1597" s="88" cm="1">
        <f t="array" ref="H1597">INDEX(F1588:H1596,MATCH("無設定",F1588:F1596,0)-1,MATCH(H1587,F1587:H1587,0))</f>
        <v>90</v>
      </c>
      <c r="I1597" s="23" t="str">
        <f t="shared" si="62"/>
        <v>m</v>
      </c>
      <c r="J1597" s="98">
        <f>D1602</f>
        <v>0.25</v>
      </c>
      <c r="K1597" s="78">
        <f>IFERROR(D1588*J1597,"")</f>
        <v>2.5</v>
      </c>
    </row>
    <row r="1598" spans="2:11" ht="12" customHeight="1">
      <c r="B1598" s="154" t="s">
        <v>145</v>
      </c>
      <c r="C1598" s="155" t="s">
        <v>23</v>
      </c>
      <c r="D1598" s="187">
        <f>IF(OR(D1588=0,D1589="　"),"──",SUM(D1595:D1596))</f>
        <v>4.5</v>
      </c>
      <c r="E1598" s="19"/>
      <c r="F1598" s="188"/>
      <c r="G1598" s="75" t="s">
        <v>124</v>
      </c>
      <c r="H1598" s="103"/>
      <c r="I1598" s="18" t="s">
        <v>23</v>
      </c>
      <c r="J1598" s="74">
        <f>SUMIFS(J1588:J1597,F1588:F1597,"&lt;&gt;非削孔",F1588:F1597,"&lt;&gt;無設定")</f>
        <v>8.25</v>
      </c>
      <c r="K1598" s="95">
        <f>SUMIFS(K1588:K1597,F1588:F1597,"&lt;&gt;非削孔",F1588:F1597,"&lt;&gt;無設定")</f>
        <v>82.5</v>
      </c>
    </row>
    <row r="1599" spans="2:11" ht="12" customHeight="1">
      <c r="B1599" s="146" t="s">
        <v>146</v>
      </c>
      <c r="C1599" s="23" t="s">
        <v>23</v>
      </c>
      <c r="D1599" s="189" cm="1">
        <f t="array" ref="D1599">IF(OR(D1588=0,D1589="　"),"──",IF(MID(D1589,4,1)="5",_xlfn.IFS(1*MID(LEFT(D1589, LEN(D1589)-1),6,2)&lt;8,1,1*MID(LEFT(D1589, LEN(D1589)-1),6,2)&lt;13,1.2),_xlfn.IFS(1*MID(LEFT(D1589, LEN(D1589)-1),6,2)&lt;6,1,1*MID(LEFT(D1589, LEN(D1589)-1),6,2)&lt;15,1.2)))</f>
        <v>1</v>
      </c>
      <c r="E1599" s="19"/>
      <c r="F1599" s="190"/>
      <c r="G1599" s="76" t="s">
        <v>47</v>
      </c>
      <c r="H1599" s="104"/>
      <c r="I1599" s="79" t="s">
        <v>46</v>
      </c>
      <c r="J1599" s="77" t="str">
        <f>IF(OR(D1588=0,D1589="　"),"",IF(SUM(D1596:D1597,D1602)=J1598,"OK","NG"))</f>
        <v>OK</v>
      </c>
      <c r="K1599" s="145" t="str">
        <f>IF(J1599&lt;&gt;"NG","──",J1598-SUM(D1596:D1597,D1602))</f>
        <v>──</v>
      </c>
    </row>
    <row r="1600" spans="2:11" ht="12" customHeight="1">
      <c r="B1600" s="22" t="s">
        <v>125</v>
      </c>
      <c r="C1600" s="23" t="s">
        <v>35</v>
      </c>
      <c r="D1600" s="84">
        <f>IF(OR(D1588=0,D1589="　"),"──",0.2)</f>
        <v>0.2</v>
      </c>
      <c r="F1600" s="191" t="s">
        <v>58</v>
      </c>
      <c r="G1600" s="248" t="s">
        <v>110</v>
      </c>
      <c r="H1600" s="249"/>
      <c r="I1600" s="249"/>
      <c r="J1600" s="249"/>
      <c r="K1600" s="250"/>
    </row>
    <row r="1601" spans="2:11" ht="12" customHeight="1">
      <c r="B1601" s="6" t="s">
        <v>147</v>
      </c>
      <c r="C1601" s="23" t="s">
        <v>23</v>
      </c>
      <c r="D1601" s="60">
        <f>IF(OR(D1588=0,D1589="　"),"──",SUM(D1597:D1600))</f>
        <v>9.6999999999999993</v>
      </c>
    </row>
    <row r="1602" spans="2:11" ht="12" customHeight="1">
      <c r="B1602" s="25" t="s">
        <v>127</v>
      </c>
      <c r="C1602" s="26" t="s">
        <v>23</v>
      </c>
      <c r="D1602" s="27">
        <f>IF(OR(D1588=0,D1589="　"),"──",0.25)</f>
        <v>0.25</v>
      </c>
      <c r="F1602" s="8"/>
      <c r="G1602" s="8"/>
      <c r="H1602" s="102"/>
    </row>
    <row r="1603" spans="2:11" ht="12" customHeight="1">
      <c r="B1603" s="95" t="s">
        <v>123</v>
      </c>
      <c r="C1603" s="18" t="s">
        <v>32</v>
      </c>
      <c r="D1603" s="192">
        <v>90</v>
      </c>
      <c r="E1603" s="193" t="str">
        <f>IF(D1603&lt;D1604,"NG：削孔径不適合","")</f>
        <v/>
      </c>
      <c r="F1603" s="8"/>
      <c r="G1603" s="8"/>
      <c r="H1603" s="102"/>
    </row>
    <row r="1604" spans="2:11" ht="12" customHeight="1">
      <c r="B1604" s="25" t="s">
        <v>122</v>
      </c>
      <c r="C1604" s="26" t="s">
        <v>32</v>
      </c>
      <c r="D1604" s="194" cm="1">
        <f t="array" ref="D1604">IF(OR(D1588=0,D1589="　"),"──",IF(D1594="なし",IF(MID(D1589,4,1)="5",_xlfn.IFS(1*MID(LEFT(D1589, LEN(D1589)-1),6,2)&lt;6,90,1*MID(LEFT(D1589, LEN(D1589)-1),6,2)&lt;9,115,1*MID(LEFT(D1589, LEN(D1589)-1),6,2)&gt;8,135),_xlfn.IFS(1*MID(LEFT(D1589, LEN(D1589)-1),6,2)&lt;4,90,1*MID(LEFT(D1589, LEN(D1589)-1),6,2)&lt;7,115,1*MID(LEFT(D1589, LEN(D1589)-1),6,2)&lt;10,135,1*MID(LEFT(D1589, LEN(D1589)-1),6,2)&lt;13,146,1*MID(LEFT(D1589, LEN(D1589)-1),6,2)&gt;12,165)),IF(MID(D1589,4,1)="5",_xlfn.IFS(1*MID(LEFT(D1589, LEN(D1589)-1),6,2)&lt;3,90,1*MID(LEFT(D1589, LEN(D1589)-1),6,2)&lt;7,115,1*MID(LEFT(D1589, LEN(D1589)-1),6,2)&lt;9,135,1*MID(LEFT(D1589, LEN(D1589)-1),6,2)&gt;8,146),_xlfn.IFS(1*MID(LEFT(D1589, LEN(D1589)-1),6,2)&lt;3,90,1*MID(LEFT(D1589, LEN(D1589)-1),6,2)&lt;4,115,1*MID(LEFT(D1589, LEN(D1589)-1),6,2)&lt;6,135,1*MID(LEFT(D1589, LEN(D1589)-1),6,2)&lt;10,146,1*MID(LEFT(D1589, LEN(D1589)-1),6,2)&lt;13,165,1*MID(LEFT(D1589, LEN(D1589)-1),6,2)&gt;12,216))))</f>
        <v>90</v>
      </c>
      <c r="E1604" s="195"/>
      <c r="F1604" s="8"/>
      <c r="G1604" s="8"/>
      <c r="H1604" s="102"/>
    </row>
    <row r="1605" spans="2:11" ht="12" customHeight="1">
      <c r="B1605" s="20"/>
      <c r="C1605" s="46"/>
      <c r="D1605" s="117"/>
      <c r="F1605" s="8"/>
      <c r="G1605" s="8"/>
      <c r="H1605" s="102"/>
    </row>
    <row r="1606" spans="2:11" ht="12" customHeight="1">
      <c r="B1606" s="15" t="str">
        <f>"■"&amp;MID(B1583,2,14)</f>
        <v>■本設：EHDアンカーHP工法</v>
      </c>
      <c r="C1606" s="3"/>
      <c r="D1606" s="1"/>
      <c r="E1606" s="1"/>
      <c r="F1606" s="8"/>
      <c r="G1606" s="8"/>
      <c r="H1606" s="102"/>
    </row>
    <row r="1607" spans="2:11" ht="12" customHeight="1">
      <c r="B1607" s="2" t="s">
        <v>17</v>
      </c>
      <c r="C1607" s="43"/>
      <c r="D1607" s="196" t="s">
        <v>148</v>
      </c>
      <c r="E1607" s="135"/>
      <c r="F1607" s="16"/>
      <c r="G1607" s="61" t="s">
        <v>42</v>
      </c>
      <c r="H1607" s="97"/>
      <c r="I1607" s="2" t="s">
        <v>21</v>
      </c>
      <c r="J1607" s="49" t="s">
        <v>149</v>
      </c>
      <c r="K1607" s="2" t="s">
        <v>28</v>
      </c>
    </row>
    <row r="1608" spans="2:11" ht="12" customHeight="1">
      <c r="B1608" s="197" t="s">
        <v>150</v>
      </c>
      <c r="C1608" s="198" t="str">
        <f>IF(OR(D1588=0,D1589="　"),"",D1589&amp;" ("&amp;MID(LEFT(D1589, LEN(D1589)-1),6,2)&amp;IF(MID(D1589,4,1)="5","φ12.7","φ15.2")&amp;")")</f>
        <v>EHD5-4H (4φ12.7)</v>
      </c>
      <c r="D1608" s="199"/>
      <c r="E1608" s="200"/>
      <c r="F1608" s="201" t="str">
        <f>"W=テンドン長×PC鋼より線本数×"&amp;IF(MID(D1589,4,1)="5","0.774","1.101")&amp;"kg/m"</f>
        <v>W=テンドン長×PC鋼より線本数×0.774kg/m</v>
      </c>
      <c r="G1608" s="202"/>
      <c r="H1608" s="203"/>
      <c r="I1608" s="204" t="s">
        <v>11</v>
      </c>
      <c r="J1608" s="205">
        <f>IF(OR(D1588=0,D1589="　"),"",MROUND(D1601*MID(LEFT(D1589, LEN(D1589)-1),6,2)*IF(MID(D1589,4,1)="5","0.774","1.101"),0.01))</f>
        <v>30.03</v>
      </c>
      <c r="K1608" s="205">
        <f>IFERROR(D1588*J1608,"")</f>
        <v>300.3</v>
      </c>
    </row>
    <row r="1609" spans="2:11" ht="12" customHeight="1">
      <c r="B1609" s="206" t="s">
        <v>151</v>
      </c>
      <c r="C1609" s="207"/>
      <c r="D1609" s="208"/>
      <c r="E1609" s="209"/>
      <c r="F1609" s="210" t="s">
        <v>33</v>
      </c>
      <c r="G1609" s="211"/>
      <c r="H1609" s="212"/>
      <c r="I1609" s="213" t="s">
        <v>12</v>
      </c>
      <c r="J1609" s="214">
        <f>IF(OR(D1588=0,D1589="　"),"",MROUND(D1601,0.1))</f>
        <v>9.7000000000000011</v>
      </c>
      <c r="K1609" s="214">
        <f>IFERROR(D1588*J1609,"")</f>
        <v>97.000000000000014</v>
      </c>
    </row>
    <row r="1610" spans="2:11" ht="12" customHeight="1">
      <c r="B1610" s="206" t="str">
        <f>"頭部キャップ"</f>
        <v>頭部キャップ</v>
      </c>
      <c r="C1610" s="207" t="str" cm="1">
        <f t="array" ref="C1610">IF(OR(D1588=0,D1589="　"),"",IF(MID(D1589,4,1)="5",_xlfn.SWITCH(1*MID(LEFT(D1589, LEN(D1589)-1),6,2),1,"S",2,"S",3,"S",4,"S",5,"M",6,"M",7,"M",8,"L",9,"L",10,"L",11,"L",12,"L"),_xlfn.SWITCH(1*MID(LEFT(D1589, LEN(D1589)-1),6,2),1,"S",2,"S",3,"M",4,"M",5,"L",6,"L",7,"L",8,"LL",9,"LL",10,"LL",11,"LL",12,"LL",13,"LL",14,"LL"))&amp;"型"&amp;D1591&amp;IF(OR(MID(D1591,1,2)="透明",MID(D1591,1,2)="5窓"),"、PC樹脂","")&amp;"、ｱﾙﾐAC4C相当"&amp;_xlfn.IFS(MID(D1590,1,3)="防食Ⅱ","",MID(D1590,5,2)="塩害","、防食：ﾀｹｺｰﾄ処理",MID(D1590,5,2)="酸性","、防食：重防食処理"))</f>
        <v>S型透明キャップ、PC樹脂、ｱﾙﾐAC4C相当</v>
      </c>
      <c r="D1610" s="215"/>
      <c r="E1610" s="216"/>
      <c r="F1610" s="217" t="str">
        <f t="shared" ref="F1610:F1616" si="63">"n=1"</f>
        <v>n=1</v>
      </c>
      <c r="G1610" s="218"/>
      <c r="H1610" s="219"/>
      <c r="I1610" s="213" t="s">
        <v>13</v>
      </c>
      <c r="J1610" s="220" t="str">
        <f>IF(OR(D1588=0,D1589="　"),"",MID(F1610,3,2))</f>
        <v>1</v>
      </c>
      <c r="K1610" s="214">
        <f>IFERROR(D1588*J1610,"")</f>
        <v>10</v>
      </c>
    </row>
    <row r="1611" spans="2:11" ht="12" customHeight="1">
      <c r="B1611" s="206" t="s">
        <v>5</v>
      </c>
      <c r="C1611" s="207" t="str" cm="1">
        <f t="array" ref="C1611">IF(OR(D1588=0,D1589="　"),"",IF(MID(D1589,4,1)="5","G5"&amp;_xlfn.SWITCH(1*MID(LEFT(D1589, LEN(D1589)-1),6,2),1,"01",2,"02",3,"03",4,"04",5,"07",6,"07",7,"07",8,"09",9,"09",10,"12",11,"12",12,"12"),"G6"&amp;_xlfn.SWITCH(1*MID(LEFT(D1589, LEN(D1589)-1),6,2),1,"01",2,"02",3,"03",4,"04",5,"07",6,"07",7,"07",8,"09",9,"09",10,"12",11,"12",12,"12",13,"14",14,"14"))&amp;"、S45C相当"&amp;IF(MID(D1591,1,3)&lt;&gt;"アルミ","、防食：無電解Niめっき",""))</f>
        <v>G504、S45C相当、防食：無電解Niめっき</v>
      </c>
      <c r="D1611" s="208"/>
      <c r="E1611" s="209"/>
      <c r="F1611" s="217" t="str">
        <f t="shared" si="63"/>
        <v>n=1</v>
      </c>
      <c r="G1611" s="218"/>
      <c r="H1611" s="219"/>
      <c r="I1611" s="213" t="s">
        <v>13</v>
      </c>
      <c r="J1611" s="220" t="str">
        <f>IF(OR(D1588=0,D1589="　"),"",MID(F1611,3,2))</f>
        <v>1</v>
      </c>
      <c r="K1611" s="214">
        <f>IFERROR(D1588*J1611,"")</f>
        <v>10</v>
      </c>
    </row>
    <row r="1612" spans="2:11" ht="12" customHeight="1">
      <c r="B1612" s="206" t="s">
        <v>152</v>
      </c>
      <c r="C1612" s="207" t="str" cm="1">
        <f t="array" ref="C1612">IF(OR(D1588=0,D1589="　"),"",IF(MID(D1589,4,1)="5","G5"&amp;_xlfn.SWITCH(1*MID(LEFT(D1589, LEN(D1589)-1),6,2),1,"01",2,"02",3,"03",4,"04",5,"07",6,"07",7,"07",8,"09",9,"09",10,"12",11,"12",12,"12"),"G6"&amp;_xlfn.SWITCH(1*MID(LEFT(D1589, LEN(D1589)-1),6,2),1,"01",2,"02",3,"03",4,"04",5,"07",6,"07",7,"07",8,"09",9,"09",10,"12",11,"12",12,"12",13,"14",14,"14"))&amp;"、S45C相当"&amp;IF(MID(D1591,1,3)&lt;&gt;"アルミ","、防食：無電解Niめっき",""))</f>
        <v>G504、S45C相当、防食：無電解Niめっき</v>
      </c>
      <c r="D1612" s="208"/>
      <c r="E1612" s="209"/>
      <c r="F1612" s="217" t="str">
        <f t="shared" si="63"/>
        <v>n=1</v>
      </c>
      <c r="G1612" s="218"/>
      <c r="H1612" s="219"/>
      <c r="I1612" s="213" t="s">
        <v>13</v>
      </c>
      <c r="J1612" s="220" t="str">
        <f>IF(OR(D1588=0,D1589="　"),"",MID(F1612,3,2))</f>
        <v>1</v>
      </c>
      <c r="K1612" s="214">
        <f>IFERROR(D1588*J1612,"")</f>
        <v>10</v>
      </c>
    </row>
    <row r="1613" spans="2:11" ht="12" customHeight="1">
      <c r="B1613" s="206" t="s">
        <v>7</v>
      </c>
      <c r="C1613" s="207" t="str">
        <f>IF(OR(D1588=0,D1589="　"),"",IF(1*MID(D1589,4,1)=5,"ECF12.7","ECF15.2")&amp;"、SCM415相当"&amp;IF(MID(D1591,1,3)&lt;&gt;"アルミ","、防食：無電解Niめっき",""))</f>
        <v>ECF12.7、SCM415相当、防食：無電解Niめっき</v>
      </c>
      <c r="D1613" s="208"/>
      <c r="E1613" s="209"/>
      <c r="F1613" s="217" t="str">
        <f t="shared" si="63"/>
        <v>n=1</v>
      </c>
      <c r="G1613" s="218"/>
      <c r="H1613" s="219"/>
      <c r="I1613" s="213" t="s">
        <v>27</v>
      </c>
      <c r="J1613" s="220" t="str">
        <f>IF(OR(D1588=0,D1589="　"),"",MID(F1613,3,2))</f>
        <v>1</v>
      </c>
      <c r="K1613" s="214">
        <f>IFERROR(D1588*J1613,"")</f>
        <v>10</v>
      </c>
    </row>
    <row r="1614" spans="2:11" ht="12" customHeight="1">
      <c r="B1614" s="206" t="s">
        <v>153</v>
      </c>
      <c r="C1614" s="207" t="str" cm="1">
        <f t="array" ref="C1614">IF(OR(D1588=0,D1589="　"),"",IF(MID(D1589,4,1)="5","G5"&amp;_xlfn.SWITCH(1*MID(LEFT(D1589, LEN(D1589)-1),6,2),1,"01",2,"04",3,"03",4,"04",5,"07",6,"07",7,"07",8,"12",9,"12",10,"12",11,"12",12,"12"),"G6"&amp;_xlfn.SWITCH(1*MID(LEFT(D1589, LEN(D1589)-1),6,2),1,"01",2,"02",3,"03",4,"04",5,"07",6,"07",7,"07",8,"12",9,"12",10,"12",11,"12",12,"12",13,"14",14,"14"))&amp;"、SS400相当、防食："&amp;_xlfn.IFS(MID(D1590,1,3)="防食Ⅱ","HDZT77めっき",MID(D1590,5,2)="塩害","ｱﾙﾐﾅｲｽﾞ処理",MID(D1590,5,2)="酸性","重防食処理"))</f>
        <v>G504、SS400相当、防食：HDZT77めっき</v>
      </c>
      <c r="D1614" s="208"/>
      <c r="E1614" s="209"/>
      <c r="F1614" s="217" t="str">
        <f t="shared" si="63"/>
        <v>n=1</v>
      </c>
      <c r="G1614" s="218"/>
      <c r="H1614" s="219"/>
      <c r="I1614" s="213" t="s">
        <v>16</v>
      </c>
      <c r="J1614" s="220" t="str">
        <f>IF(OR(D1588=0,D1589="　"),"",MID(F1614,3,2))</f>
        <v>1</v>
      </c>
      <c r="K1614" s="214">
        <f>IFERROR(D1588*J1614,"")</f>
        <v>10</v>
      </c>
    </row>
    <row r="1615" spans="2:11" ht="12" customHeight="1">
      <c r="B1615" s="206" t="str">
        <f>IF(MID(D1592,1,3)="のり面","管付","")&amp;"支圧板"</f>
        <v>管付支圧板</v>
      </c>
      <c r="C1615" s="221" t="str" cm="1">
        <f t="array" ref="C1615">IF(OR(D1588=0,D1589="　"),"","PL"&amp;IF(MID(D1592,1,3)="のり面","P","")&amp;IF(MID(D1589,4,1)="5","5-"&amp;_xlfn.SWITCH(1*MID(LEFT(D1589, LEN(D1589)-1),6,2),1,"1",2,"2",3,"3",4,"4",5,"5",6,"6",7,"7",8,"9",9,"9",10,"10",11,"11",12,"12"),"6-"&amp;_xlfn.SWITCH(1*MID(LEFT(D1589, LEN(D1589)-1),6,2),1,"1",2,"2",3,"3",4,"4",5,"6",6,"6",7,"7",8,"8",9,"9",10,"10",11,"11",12,"12",13,"14",14,"14"))&amp;"、SS400相当、防食："&amp;_xlfn.IFS(MID(D1590,1,3)="防食Ⅱ","HDZT77めっき",MID(D1590,5,2)="塩害","ｱﾙﾐﾅｲｽﾞ処理",MID(D1590,5,2)="酸性","重防食処理"))</f>
        <v>PLP5-4、SS400相当、防食：HDZT77めっき</v>
      </c>
      <c r="D1615" s="208"/>
      <c r="E1615" s="209"/>
      <c r="F1615" s="217" t="str">
        <f t="shared" si="63"/>
        <v>n=1</v>
      </c>
      <c r="G1615" s="218"/>
      <c r="H1615" s="219"/>
      <c r="I1615" s="213" t="s">
        <v>16</v>
      </c>
      <c r="J1615" s="220" t="str">
        <f>IF(OR(D1588=0,D1589="　"),"",MID(F1615,3,2))</f>
        <v>1</v>
      </c>
      <c r="K1615" s="214">
        <f>IFERROR(D1588*J1615,"")</f>
        <v>10</v>
      </c>
    </row>
    <row r="1616" spans="2:11" ht="12" customHeight="1">
      <c r="B1616" s="206" t="s">
        <v>154</v>
      </c>
      <c r="C1616" s="207" t="str">
        <f>IF(OR(D1588=0,D1589="　"),"","G"&amp;MID(LEFT(D1589, LEN(D1589)-1),4,4)&amp;"、NBR45相当")</f>
        <v>G5-4、NBR45相当</v>
      </c>
      <c r="D1616" s="208"/>
      <c r="E1616" s="209"/>
      <c r="F1616" s="217" t="str">
        <f t="shared" si="63"/>
        <v>n=1</v>
      </c>
      <c r="G1616" s="218"/>
      <c r="H1616" s="219"/>
      <c r="I1616" s="213" t="s">
        <v>13</v>
      </c>
      <c r="J1616" s="220" t="str">
        <f>IF(OR(D1588=0,D1589="　"),"",MID(F1616,3,2))</f>
        <v>1</v>
      </c>
      <c r="K1616" s="214">
        <f>IFERROR(D1588*J1616,"")</f>
        <v>10</v>
      </c>
    </row>
    <row r="1617" spans="2:11" ht="12" customHeight="1">
      <c r="B1617" s="206" t="str" cm="1">
        <f t="array" ref="B1617">_xlfn.IFS(OR(D1588=0,D1589="　"),"",MID(D1591,1,3)="アルミ","頭部防錆油",MID(D1591,1,3)&lt;&gt;"アルミ","余長キャップ")</f>
        <v>余長キャップ</v>
      </c>
      <c r="C1617" s="221" t="str" cm="1">
        <f t="array" ref="C1617">_xlfn.IFS(OR(D1588=0,D1589="　"),"",MID(D1591,1,3)="アルミ","PCコートC",MID(D1591,1,3)&lt;&gt;"アルミ","TC"&amp;MID(D1589,4,1)&amp;"、高密度ポチエチレン")</f>
        <v>TC5、高密度ポチエチレン</v>
      </c>
      <c r="D1617" s="208"/>
      <c r="E1617" s="209"/>
      <c r="F1617" s="217" t="str" cm="1">
        <f t="array" ref="F1617">_xlfn.IFS(OR(D1588=0,D1589="　"),"",MID(D1591,1,3)="アルミ","W="&amp;IF(MID(D1589,4,1)="5",_xlfn.SWITCH(1*MID(LEFT(D1589, LEN(D1589)-1),6,2),1,1.9,2,1.3,3,1.3,4,1.3,5,1.6,6,1.6,7,1.6,8,3.1,9,3.1,10,3.1,11,3.1,12,3.1),"G6"&amp;_xlfn.SWITCH(1*MID(LEFT(D1589, LEN(D1589)-1),6,2),1,1.8,2,1.3,3,1.8,4,1.8,5,3.3,6,3.3,7,3.3,8,9.9,9,9.9,10,9.9,11,9.9,12,9.9,13,9.9,14,9.9)),MID(D1591,1,3)&lt;&gt;"アルミ","n=1")</f>
        <v>n=1</v>
      </c>
      <c r="G1617" s="218"/>
      <c r="H1617" s="219"/>
      <c r="I1617" s="213" t="str" cm="1">
        <f t="array" ref="I1617">_xlfn.IFS(OR(D1588=0,D1589="　"),"",MID(D1591,1,3)="アルミ","kg",MID(D1591,1,3)&lt;&gt;"アルミ","式")</f>
        <v>式</v>
      </c>
      <c r="J1617" s="220" t="str">
        <f>IF(OR(D1588=0,D1589="　"),"",MID(F1617,3,4))</f>
        <v>1</v>
      </c>
      <c r="K1617" s="214">
        <f>IFERROR(D1588*J1617,"")</f>
        <v>10</v>
      </c>
    </row>
    <row r="1618" spans="2:11" ht="12" customHeight="1">
      <c r="B1618" s="206" t="s">
        <v>9</v>
      </c>
      <c r="C1618" s="207" t="str" cm="1">
        <f t="array" ref="C1618">IF(OR(D1588=0,D1589="　"),"",IF(MID(D1589,4,1)="5","PS5-"&amp;_xlfn.SWITCH(1*MID(LEFT(D1589, LEN(D1589)-1),6,2),1,"7",2,"2",3,"3",4,"4",5,"7",6,"7",7,"7",8,"12",9,"12",10,"12",11,"12",12,"12"),"PS6-"&amp;_xlfn.SWITCH(1*MID(LEFT(D1589, LEN(D1589)-1),6,2),1,"7",2,"2",3,"3",4,"4",5,"7",6,"7",7,"7",8,"12",9,"12",10,"12",11,"12",12,"12",13,"14",14,"14"))&amp;"、高密度ポリエチレン")</f>
        <v>PS5-4、高密度ポリエチレン</v>
      </c>
      <c r="D1618" s="208"/>
      <c r="E1618" s="209"/>
      <c r="F1618" s="217" t="str">
        <f>"n=2"</f>
        <v>n=2</v>
      </c>
      <c r="G1618" s="218"/>
      <c r="H1618" s="219"/>
      <c r="I1618" s="213" t="s">
        <v>13</v>
      </c>
      <c r="J1618" s="220" t="str">
        <f>IF(OR(D1588=0,D1589="　"),"",MID(F1618,3,2))</f>
        <v>2</v>
      </c>
      <c r="K1618" s="214">
        <f>IFERROR(D1588*J1618,"")</f>
        <v>20</v>
      </c>
    </row>
    <row r="1619" spans="2:11" ht="12" customHeight="1">
      <c r="B1619" s="206" t="s">
        <v>2</v>
      </c>
      <c r="C1619" s="207" t="str" cm="1">
        <f t="array" ref="C1619">IF(OR(D1588=0,D1589="　"),"",IF(MID(D1589,4,1)="5","S5-"&amp;_xlfn.IFS(1*MID(LEFT(D1589, LEN(D1589)-1),6,2)&lt;6,"5",1*MID(LEFT(D1589, LEN(D1589)-1),6,2)&lt;9,"8",1*MID(LEFT(D1589, LEN(D1589)-1),6,2)&gt;8,"12"),"S6-"&amp;_xlfn.IFS(1*MID(LEFT(D1589, LEN(D1589)-1),6,2)&lt;4,"3",1*MID(LEFT(D1589, LEN(D1589)-1),6,2)&lt;7,"6",1*MID(LEFT(D1589, LEN(D1589)-1),6,2)&lt;10,"9",1*MID(LEFT(D1589, LEN(D1589)-1),6,2)&lt;13,"12",1*MID(LEFT(D1589, LEN(D1589)-1),6,2)&gt;12,"14"))&amp;"、ポリプロピレン")</f>
        <v>S5-5、ポリプロピレン</v>
      </c>
      <c r="D1619" s="208"/>
      <c r="E1619" s="209"/>
      <c r="F1619" s="222" t="s">
        <v>155</v>
      </c>
      <c r="G1619" s="211"/>
      <c r="H1619" s="212"/>
      <c r="I1619" s="213" t="s">
        <v>13</v>
      </c>
      <c r="J1619" s="206">
        <f>IF(OR(D1588=0,D1589="　"),"",MROUND((D1597-0.4)/1,1))</f>
        <v>4</v>
      </c>
      <c r="K1619" s="214">
        <f>IFERROR(D1588*J1619,"")</f>
        <v>40</v>
      </c>
    </row>
    <row r="1620" spans="2:11" ht="12" customHeight="1">
      <c r="B1620" s="206" t="s">
        <v>1</v>
      </c>
      <c r="C1620" s="207" t="str" cm="1">
        <f t="array" ref="C1620">IF(OR(D1588=0,D1589="　"),"",IF(MID(D1589,4,1)="5","PC5-"&amp;_xlfn.IFS(1*MID(LEFT(D1589, LEN(D1589)-1),6,2)&lt;5,"4",1*MID(LEFT(D1589, LEN(D1589)-1),6,2)&lt;8,"7",1*MID(LEFT(D1589, LEN(D1589)-1),6,2)&lt;10,"9",1*MID(LEFT(D1589, LEN(D1589)-1),6,2)&gt;9,"12"),"PC6-"&amp;_xlfn.IFS(1*MID(LEFT(D1589, LEN(D1589)-1),6,2)&lt;4,"3",1*MID(LEFT(D1589, LEN(D1589)-1),6,2)&lt;8,"7",1*MID(LEFT(D1589, LEN(D1589)-1),6,2)&lt;13,"12",1*MID(LEFT(D1589, LEN(D1589)-1),6,2)&gt;12,"14"))&amp;"、ポリプロピレン")</f>
        <v>PC5-4、ポリプロピレン</v>
      </c>
      <c r="D1620" s="208"/>
      <c r="E1620" s="209"/>
      <c r="F1620" s="217" t="str">
        <f>"n=1"</f>
        <v>n=1</v>
      </c>
      <c r="G1620" s="218"/>
      <c r="H1620" s="219"/>
      <c r="I1620" s="213" t="s">
        <v>13</v>
      </c>
      <c r="J1620" s="220" t="str">
        <f>IF(OR(D1588=0,D1589="　"),"",MID(F1620,3,2))</f>
        <v>1</v>
      </c>
      <c r="K1620" s="214">
        <f>IFERROR(D1588*J1620,"")</f>
        <v>10</v>
      </c>
    </row>
    <row r="1621" spans="2:11" ht="12" customHeight="1">
      <c r="B1621" s="206" t="s">
        <v>3</v>
      </c>
      <c r="C1621" s="207" t="str">
        <f>IF(OR(D1588=0,D1589="　"),"","66ナイロン")</f>
        <v>66ナイロン</v>
      </c>
      <c r="D1621" s="208"/>
      <c r="E1621" s="209"/>
      <c r="F1621" s="222" t="s">
        <v>156</v>
      </c>
      <c r="G1621" s="211"/>
      <c r="H1621" s="212"/>
      <c r="I1621" s="213" t="s">
        <v>14</v>
      </c>
      <c r="J1621" s="206">
        <f>IF(OR(D1588=0,D1589="　"),"",2*J1619)</f>
        <v>8</v>
      </c>
      <c r="K1621" s="214">
        <f>IFERROR(D1588*J1621,"")</f>
        <v>80</v>
      </c>
    </row>
    <row r="1622" spans="2:11" ht="12" customHeight="1">
      <c r="B1622" s="206" t="s">
        <v>4</v>
      </c>
      <c r="C1622" s="207" t="str">
        <f>IF(OR(D1588=0,D1589="　"),"","フィラメントテープ")</f>
        <v>フィラメントテープ</v>
      </c>
      <c r="D1622" s="208"/>
      <c r="E1622" s="209"/>
      <c r="F1622" s="222" t="str">
        <f>IF(OR(D1588=0,D1589="　"),"","L=((自由長+緊張部長)÷@1.0m)×テープ係数"&amp;IF(MID(D1589,4,1)="5",_xlfn.IFS(1*MID(LEFT(D1589, LEN(D1589)-1),6,2)&lt;4,"0.8",1*MID(LEFT(D1589, LEN(D1589)-1),6,2)&lt;7,"1.0",1*MID(LEFT(D1589, LEN(D1589)-1),6,2)&lt;10,"1.2",1*MID(LEFT(D1589, LEN(D1589)-1),6,2)&lt;13,"1.4"),_xlfn.IFS(1*MID(LEFT(D1589, LEN(D1589)-1),6,2)&lt;4,"1.0",1*MID(LEFT(D1589, LEN(D1589)-1),6,2)&lt;7,"1.2",1*MID(LEFT(D1589, LEN(D1589)-1),6,2)&lt;10,"1.4",1*MID(LEFT(D1589, LEN(D1589)-1),6,2)&lt;15,"1.8")))</f>
        <v>L=((自由長+緊張部長)÷@1.0m)×テープ係数1.0</v>
      </c>
      <c r="G1622" s="211"/>
      <c r="H1622" s="212"/>
      <c r="I1622" s="213" t="s">
        <v>12</v>
      </c>
      <c r="J1622" s="223">
        <f>IF(OR(D1588=0,D1589="　"),"",MROUND((SUM(D1598,D1599))/1*RIGHT(F1622, 3),0.1))</f>
        <v>5.5</v>
      </c>
      <c r="K1622" s="214">
        <f>IFERROR(D1588*J1622,"")</f>
        <v>55</v>
      </c>
    </row>
    <row r="1623" spans="2:11" ht="12" customHeight="1">
      <c r="B1623" s="206" t="s">
        <v>0</v>
      </c>
      <c r="C1623" s="207" t="str">
        <f>IF(OR(D1588=0,D1589="　"),"","16/20、高密度ポリエチレン")</f>
        <v>16/20、高密度ポリエチレン</v>
      </c>
      <c r="D1623" s="208"/>
      <c r="E1623" s="209"/>
      <c r="F1623" s="210" t="s">
        <v>33</v>
      </c>
      <c r="G1623" s="211"/>
      <c r="H1623" s="212"/>
      <c r="I1623" s="213" t="s">
        <v>12</v>
      </c>
      <c r="J1623" s="214">
        <f>IF(OR(D1588=0,D1589="　"),"",MROUND(D1601,0.1))</f>
        <v>9.7000000000000011</v>
      </c>
      <c r="K1623" s="214">
        <f>IFERROR(D1588*J1623,"")</f>
        <v>97.000000000000014</v>
      </c>
    </row>
    <row r="1624" spans="2:11" ht="12" customHeight="1">
      <c r="B1624" s="206" t="str" cm="1">
        <f t="array" ref="B1624">_xlfn.IFS(OR(D1588=0,D1589="　",MID(D1592,1,2)="なし",MID(D1592,1,3)="受圧体"),"",MID(D1592,1,3)="のり面","のり面角度台座",MID(D1592,1,3)="構造物","構造物壁面台座",MID(D1592,1,3)="土留め","土留め台座")</f>
        <v>のり面角度台座</v>
      </c>
      <c r="C1624" s="210" t="str" cm="1">
        <f t="array" ref="C1624">IF(OR(D1588=0,D1589="　",MID(D1592,1,2)="なし",MID(D1592,1,3)="受圧体"),"",_xlfn.IFS(MID(D1592,1,3)="のり面",IF(1*MID(D1589,4,1)=5,_xlfn.IFS(1*MID(LEFT(D1589, LEN(D1589)-1),6,2)&lt;5,"ST140",1*MID(LEFT(D1589, LEN(D1589)-1),6,2)&lt;8,"ST170",1*MID(LEFT(D1589, LEN(D1589)-1),6,2)&lt;13,"ST220"),_xlfn.IFS(1*MID(LEFT(D1589, LEN(D1589)-1),6,2)&lt;4,"ST140",1*MID(LEFT(D1589, LEN(D1589)-1),6,2)&lt;5,"ST170",1*MID(LEFT(D1589, LEN(D1589)-1),6,2)&lt;8,"ST220",1*MID(LEFT(D1589, LEN(D1589)-1),6,2)&lt;15,"非該当"))&amp;"、FCD450相当、防食："&amp;_xlfn.IFS(MID(D1590,1,3)="防食Ⅱ","HDZT77めっき",MID(D1590,5,2)="塩害","ｱﾙﾐﾅｲｽﾞ処理",MID(D1590,5,2)="酸性","重防食処理"),OR(MID(D1592,1,3)="構造物",MID(D1592,1,3)="土留め"),D1589&amp;"用"&amp;IF(OR(MID(D1592,1,3)="構造物",D1593="　"),"",D1593)&amp;"、防食："&amp;_xlfn.IFS(MID(D1590,1,3)="防食Ⅱ","HDZT77めっき",MID(D1590,5,2)="塩害","ｱﾙﾐﾅｲｽﾞ処理",MID(D1590,5,2)="酸性","重防食処理")))</f>
        <v>ST140、FCD450相当、防食：HDZT77めっき</v>
      </c>
      <c r="D1624" s="208"/>
      <c r="E1624" s="209"/>
      <c r="F1624" s="217" t="str">
        <f>IF(OR(D1592="なし",D1592="受圧体のみ"),"","n=1")</f>
        <v>n=1</v>
      </c>
      <c r="G1624" s="218"/>
      <c r="H1624" s="219"/>
      <c r="I1624" s="213" t="str">
        <f>IF(OR(D1588=0,D1589="　",B1624=""),"","台")</f>
        <v>台</v>
      </c>
      <c r="J1624" s="220" t="str">
        <f>IF(OR(D1588=0,D1589="　"),"",MID(F1624,3,2))</f>
        <v>1</v>
      </c>
      <c r="K1624" s="214">
        <f>IFERROR(D1588*J1624,"")</f>
        <v>10</v>
      </c>
    </row>
    <row r="1625" spans="2:11" ht="12" customHeight="1">
      <c r="B1625" s="206" t="str">
        <f>IF(OR(D1588=0,D1589="　",MID(D1592,1,3)&lt;&gt;"のり面"),"","補剛板")</f>
        <v>補剛板</v>
      </c>
      <c r="C1625" s="210" t="str" cm="1">
        <f t="array" ref="C1625">IF(OR(D1588=0,D1589="　",MID(D1592,1,3)&lt;&gt;"のり面"),"",IF(MID(D1589,4,1)="5","□"&amp;_xlfn.SWITCH(1*MID(LEFT(D1589, LEN(D1589)-1),6,2),1,"210φ131t12",2,"210φ131t12",3,"240φ131t12",4,"270φ131t12",5,"280φ143t12",6,"310φ143t16",7,"350φ143t19",8,"350φ180t19",9,"350φ180t19",10,"350φ180t19",11,"350φ180t22",12,"350φ180t22"),"□"&amp;_xlfn.SWITCH(1*MID(LEFT(D1589, LEN(D1589)-1),6,2),1,"210,φ131,t12",2,"240,φ131,t12",3,"270,φ131,t16",4,"300,φ143,t16",5,"350,φ180,t16",6,"350,φ180,t16",7,"350,φ180,t19",8,"400,φ──,t12",9,"400,φ──,t12",10,"400,φ──,t12",11,"400,φ──,t12",12,"400,φ──,t12",13,"400,φ──,t12",14,"400,φ──,t12"))&amp;"、SS400相当、防食："&amp;_xlfn.IFS(MID(D1590,1,3)="防食Ⅱ","HDZT77めっき",MID(D1590,5,2)="塩害","ｱﾙﾐﾅｲｽﾞ処理",MID(D1590,5,2)="酸性","重防食処理"))</f>
        <v>□270φ131t12、SS400相当、防食：HDZT77めっき</v>
      </c>
      <c r="D1625" s="208"/>
      <c r="E1625" s="209"/>
      <c r="F1625" s="217" t="str">
        <f>IF(OR(D1588=0,D1589="　",MID(D1592,1,3)&lt;&gt;"のり面"),"","n=1")</f>
        <v>n=1</v>
      </c>
      <c r="G1625" s="218"/>
      <c r="H1625" s="219"/>
      <c r="I1625" s="213" t="str">
        <f>IF(OR(D1588=0,D1589="　",B1625="",MID(D1592,1,3)&lt;&gt;"のり面"),"","枚")</f>
        <v>枚</v>
      </c>
      <c r="J1625" s="220" t="str">
        <f>IF(OR(D1588=0,D1589="　"),"",MID(F1625,3,2))</f>
        <v>1</v>
      </c>
      <c r="K1625" s="214">
        <f>IFERROR(D1588*J1625,"")</f>
        <v>10</v>
      </c>
    </row>
    <row r="1626" spans="2:11" ht="12" customHeight="1">
      <c r="B1626" s="206" t="str" cm="1">
        <f t="array" ref="B1626">_xlfn.IFS(OR(D1588=0,D1589="　"),"",MID(D1591,1,3)="アルミ","",MID(D1591,1,3)&lt;&gt;"アルミ","テンドン補修用塗料")</f>
        <v>テンドン補修用塗料</v>
      </c>
      <c r="C1626" s="210" t="str" cm="1">
        <f t="array" ref="C1626">_xlfn.IFS(OR(D1588=0,D1589="　"),"",MID(D1591,1,3)="アルミ","",MID(D1591,1,3)&lt;&gt;"アルミ","エポキシ樹脂")</f>
        <v>エポキシ樹脂</v>
      </c>
      <c r="D1626" s="208"/>
      <c r="E1626" s="209"/>
      <c r="F1626" s="217" t="str" cm="1">
        <f t="array" ref="F1626">_xlfn.IFS(OR(D1588=0,D1589="　"),"",MID(D1591,1,3)="アルミ","",MID(D1591,1,3)&lt;&gt;"アルミ","W=PC鋼より線本数×"&amp;IF(MID(D1589,4,1)="5","0.28","0.40"))</f>
        <v>W=PC鋼より線本数×0.28</v>
      </c>
      <c r="G1626" s="218"/>
      <c r="H1626" s="219"/>
      <c r="I1626" s="213" t="str" cm="1">
        <f t="array" ref="I1626">_xlfn.IFS(OR(D1588=0,D1589="　"),"",MID(D1591,1,3)="アルミ","",MID(D1591,1,3)&lt;&gt;"アルミ","g")</f>
        <v>g</v>
      </c>
      <c r="J1626" s="224" cm="1">
        <f t="array" ref="J1626">_xlfn.IFS(OR(D1588=0,D1589="　"),"",MID(D1591,1,3)="アルミ","",MID(D1591,1,3)&lt;&gt;"アルミ",MID(LEFT(D1589, LEN(D1589)-1),6,2)*IF(MID(D1589,4,1)="5",0.28,0.4))</f>
        <v>1.1200000000000001</v>
      </c>
      <c r="K1626" s="214">
        <f>IFERROR(D1588*J1626,"")</f>
        <v>11.200000000000001</v>
      </c>
    </row>
    <row r="1627" spans="2:11" ht="12" customHeight="1">
      <c r="B1627" s="206" t="str" cm="1">
        <f t="array" ref="B1627">_xlfn.IFS(OR(D1588=0,D1589="　"),"",MID(D1591,1,3)="アルミ","",MID(D1591,1,3)&lt;&gt;"アルミ","長期防錆スプレー")</f>
        <v>長期防錆スプレー</v>
      </c>
      <c r="C1627" s="210" t="str" cm="1">
        <f t="array" ref="C1627">_xlfn.IFS(OR(D1588=0,D1589="　"),"",MID(D1591,1,3)="アルミ","",MID(D1591,1,3)&lt;&gt;"アルミ","防錆オイル")</f>
        <v>防錆オイル</v>
      </c>
      <c r="D1627" s="208"/>
      <c r="E1627" s="209"/>
      <c r="F1627" s="217" t="str" cm="1">
        <f t="array" ref="F1627">_xlfn.IFS(OR(D1588=0,D1589="　"),"",MID(D1591,1,3)="アルミ","",MID(D1591,1,3)&lt;&gt;"アルミ","n=0.01×(PC鋼より線本数+"&amp;IF(MID(D1589,4,1)="5","6","12")&amp;")")</f>
        <v>n=0.01×(PC鋼より線本数+6)</v>
      </c>
      <c r="G1627" s="218"/>
      <c r="H1627" s="219"/>
      <c r="I1627" s="213" t="str" cm="1">
        <f t="array" ref="I1627">_xlfn.IFS(OR(D1588=0,D1589="　"),"",MID(D1591,1,3)="アルミ","",MID(D1591,1,3)&lt;&gt;"アルミ","缶")</f>
        <v>缶</v>
      </c>
      <c r="J1627" s="224" cm="1">
        <f t="array" ref="J1627">_xlfn.IFS(OR(D1588=0,D1589="　"),"",MID(D1591,1,3)="アルミ","",MID(D1591,1,3)&lt;&gt;"アルミ",0.01*(MID(LEFT(D1589, LEN(D1589)-1),6,2)+IF(MID(D1589,4,1)="5",6,12)))</f>
        <v>0.1</v>
      </c>
      <c r="K1627" s="214">
        <f>IFERROR(D1588*J1627,"")</f>
        <v>1</v>
      </c>
    </row>
    <row r="1628" spans="2:11" ht="12" customHeight="1">
      <c r="B1628" s="206" t="str">
        <f>IF(OR(D1588=0,D1589="　",D1594="なし"),"","フリーパッカー注入ホース")</f>
        <v/>
      </c>
      <c r="C1628" s="207" t="str">
        <f>IF(OR(D1588=0,D1589="　",B1628=""),"","16/20、高密度ポリエチレン")</f>
        <v/>
      </c>
      <c r="D1628" s="208"/>
      <c r="E1628" s="209"/>
      <c r="F1628" s="210" t="str">
        <f>IF(B1628="","","L=自由長+緊張部長")</f>
        <v/>
      </c>
      <c r="G1628" s="211"/>
      <c r="H1628" s="212"/>
      <c r="I1628" s="213" t="str">
        <f>IF(OR(D1588=0,D1589="　",B1628=""),"","m")</f>
        <v/>
      </c>
      <c r="J1628" s="214" t="str">
        <f>IF(OR(D1588=0,D1589="　"),"",IF(B1628="","",MROUND(D1598+D1599,0.1)))</f>
        <v/>
      </c>
      <c r="K1628" s="214" t="str">
        <f>IFERROR(D1588*J1628,"")</f>
        <v/>
      </c>
    </row>
    <row r="1629" spans="2:11" ht="12" customHeight="1">
      <c r="B1629" s="225" t="str">
        <f>IF(OR(D1588=0,D1589="　",D1594="なし"),"","フリーパッカー")</f>
        <v/>
      </c>
      <c r="C1629" s="217" t="str" cm="1">
        <f t="array" ref="C1629">IF(OR(D1588=0,D1589="　",B1628=""),"",_xlfn.SWITCH(D1603,90,"PA-170",115,"PA-200",135,"PA-240",146,"PA-240",165,"PA-350")&amp;"、織布")</f>
        <v/>
      </c>
      <c r="D1629" s="208"/>
      <c r="E1629" s="209"/>
      <c r="F1629" s="226" t="str">
        <f>IF(B1629="","","L=自由長+0.5m")</f>
        <v/>
      </c>
      <c r="G1629" s="227"/>
      <c r="H1629" s="228"/>
      <c r="I1629" s="213" t="str">
        <f>IF(OR(D1589=0,D1590="　",B1629=""),"","m")</f>
        <v/>
      </c>
      <c r="J1629" s="214" t="str">
        <f>IF(OR(D1588=0,D1589="　"),"",IF(B1629="","",MROUND(D1598+0.5,0.1)))</f>
        <v/>
      </c>
      <c r="K1629" s="214" t="str">
        <f>IFERROR(D1588*J1629,"")</f>
        <v/>
      </c>
    </row>
    <row r="1630" spans="2:11" ht="12" customHeight="1">
      <c r="B1630" s="206" t="str">
        <f>IF(OR(D1588=0,D1589="　",D1594="なし"),"","パッカー取付加工")</f>
        <v/>
      </c>
      <c r="C1630" s="207"/>
      <c r="D1630" s="208"/>
      <c r="E1630" s="209"/>
      <c r="F1630" s="217" t="str">
        <f>IF(B1630="","","n=1")</f>
        <v/>
      </c>
      <c r="G1630" s="218"/>
      <c r="H1630" s="219"/>
      <c r="I1630" s="213" t="str">
        <f>IF(OR(D1590=0,D1591="　",B1630=""),"","式")</f>
        <v/>
      </c>
      <c r="J1630" s="220" t="str">
        <f>IF(OR(D1588=0,D1589="　"),"",MID(F1630,3,2))</f>
        <v/>
      </c>
      <c r="K1630" s="206" t="str">
        <f>IFERROR(D1588*J1630,"")</f>
        <v/>
      </c>
    </row>
    <row r="1631" spans="2:11" ht="12" customHeight="1">
      <c r="B1631" s="229"/>
      <c r="C1631" s="230"/>
      <c r="D1631" s="231"/>
      <c r="E1631" s="232"/>
      <c r="F1631" s="233"/>
      <c r="G1631" s="234"/>
      <c r="H1631" s="235"/>
      <c r="I1631" s="236"/>
      <c r="J1631" s="237"/>
      <c r="K1631" s="229"/>
    </row>
    <row r="1632" spans="2:11" ht="12" customHeight="1">
      <c r="B1632" s="238" t="s">
        <v>30</v>
      </c>
      <c r="C1632" s="239" t="s">
        <v>31</v>
      </c>
      <c r="D1632" s="240"/>
      <c r="E1632" s="241"/>
      <c r="F1632" s="242" t="s">
        <v>157</v>
      </c>
      <c r="G1632" s="243"/>
      <c r="H1632" s="244"/>
      <c r="I1632" s="245" t="s">
        <v>55</v>
      </c>
      <c r="J1632" s="246">
        <f>IFERROR(MROUND(0.25*PI()*(0.001*D1603)^2*(D1596+D1597+D1602)*(1+2.2),0.01),"")</f>
        <v>0.17</v>
      </c>
      <c r="K1632" s="246">
        <f>IFERROR(D1588*J1632,"")</f>
        <v>1.7000000000000002</v>
      </c>
    </row>
    <row r="1634" spans="2:11" ht="12" customHeight="1">
      <c r="B1634" s="247" t="s">
        <v>136</v>
      </c>
      <c r="C1634" s="247"/>
      <c r="D1634" s="247"/>
      <c r="F1634" s="163"/>
      <c r="G1634" s="164"/>
      <c r="H1634" s="164"/>
    </row>
    <row r="1635" spans="2:11" ht="12" customHeight="1">
      <c r="B1635" s="15" t="s">
        <v>111</v>
      </c>
      <c r="C1635" s="15"/>
      <c r="D1635" s="1"/>
      <c r="E1635" s="1"/>
      <c r="H1635" s="119"/>
      <c r="J1635" s="118"/>
    </row>
    <row r="1636" spans="2:11" ht="12" customHeight="1">
      <c r="B1636" s="165" t="s">
        <v>166</v>
      </c>
      <c r="C1636" s="3"/>
      <c r="D1636" s="1"/>
      <c r="E1636" s="1"/>
      <c r="F1636" s="8"/>
      <c r="G1636" s="8"/>
      <c r="H1636" s="102"/>
      <c r="I1636" s="28"/>
      <c r="J1636" s="118"/>
    </row>
    <row r="1637" spans="2:11" ht="12" customHeight="1">
      <c r="B1637" s="15" t="s">
        <v>40</v>
      </c>
      <c r="C1637" s="3"/>
      <c r="D1637" s="1"/>
      <c r="E1637" s="1"/>
      <c r="F1637" s="15" t="s">
        <v>54</v>
      </c>
      <c r="G1637" s="15"/>
      <c r="H1637" s="102"/>
      <c r="I1637" s="28"/>
    </row>
    <row r="1638" spans="2:11" ht="12" customHeight="1">
      <c r="B1638" s="2" t="s">
        <v>53</v>
      </c>
      <c r="C1638" s="2" t="s">
        <v>21</v>
      </c>
      <c r="D1638" s="2" t="s">
        <v>22</v>
      </c>
      <c r="E1638" s="17"/>
      <c r="F1638" s="49" t="s">
        <v>41</v>
      </c>
      <c r="G1638" s="97" t="s">
        <v>59</v>
      </c>
      <c r="H1638" s="49" t="s">
        <v>44</v>
      </c>
      <c r="I1638" s="2" t="s">
        <v>21</v>
      </c>
      <c r="J1638" s="49" t="s">
        <v>138</v>
      </c>
      <c r="K1638" s="2" t="s">
        <v>28</v>
      </c>
    </row>
    <row r="1639" spans="2:11" ht="12" customHeight="1">
      <c r="B1639" s="166" t="s">
        <v>25</v>
      </c>
      <c r="C1639" s="18" t="s">
        <v>24</v>
      </c>
      <c r="D1639" s="167">
        <v>10</v>
      </c>
      <c r="E1639" s="19"/>
      <c r="F1639" s="168" t="s">
        <v>43</v>
      </c>
      <c r="G1639" s="169" t="s">
        <v>113</v>
      </c>
      <c r="H1639" s="88" t="str" cm="1">
        <f t="array" ref="H1639">_xlfn.IFS(AND(F1639&lt;&gt;"非削孔",F1639&lt;&gt;"無設定"),D1654,F1639="非削孔",IF(MID(D1643,1,3)="土留め","非削孔","箱抜き"),F1639="無設定","無設定")</f>
        <v>箱抜き</v>
      </c>
      <c r="I1639" s="23" t="str">
        <f>IF(F1639="無設定","","m")</f>
        <v>m</v>
      </c>
      <c r="J1639" s="170">
        <v>0.5</v>
      </c>
      <c r="K1639" s="30">
        <f>D1639*J1639</f>
        <v>5</v>
      </c>
    </row>
    <row r="1640" spans="2:11" ht="12" customHeight="1">
      <c r="B1640" s="171" t="s">
        <v>37</v>
      </c>
      <c r="C1640" s="50" t="s">
        <v>38</v>
      </c>
      <c r="D1640" s="172" t="s">
        <v>159</v>
      </c>
      <c r="E1640" s="173"/>
      <c r="F1640" s="174" t="s">
        <v>49</v>
      </c>
      <c r="G1640" s="169" t="s">
        <v>114</v>
      </c>
      <c r="H1640" s="88" cm="1">
        <f t="array" ref="H1640">_xlfn.IFS(AND(F1640&lt;&gt;"非削孔",F1640&lt;&gt;"無設定"),D1654,F1640="非削孔","箱抜き",F1640="無設定","無設定")</f>
        <v>90</v>
      </c>
      <c r="I1640" s="23" t="str">
        <f t="shared" ref="I1640:I1648" si="64">IF(F1640="無設定","","m")</f>
        <v>m</v>
      </c>
      <c r="J1640" s="170">
        <v>2.64</v>
      </c>
      <c r="K1640" s="30">
        <f>D1639*J1640</f>
        <v>26.400000000000002</v>
      </c>
    </row>
    <row r="1641" spans="2:11" ht="12" customHeight="1">
      <c r="B1641" s="52" t="s">
        <v>39</v>
      </c>
      <c r="C1641" s="91" t="s">
        <v>38</v>
      </c>
      <c r="D1641" s="175" t="s">
        <v>60</v>
      </c>
      <c r="E1641" s="140"/>
      <c r="F1641" s="174" t="s">
        <v>49</v>
      </c>
      <c r="G1641" s="169" t="s">
        <v>115</v>
      </c>
      <c r="H1641" s="88" cm="1">
        <f t="array" ref="H1641">_xlfn.IFS(AND(F1641&lt;&gt;"非削孔",F1641&lt;&gt;"無設定"),D1654,F1641="非削孔","箱抜き",F1641="無設定","無設定")</f>
        <v>90</v>
      </c>
      <c r="I1641" s="23" t="str">
        <f t="shared" si="64"/>
        <v>m</v>
      </c>
      <c r="J1641" s="170">
        <v>5.36</v>
      </c>
      <c r="K1641" s="30">
        <f>D1639*J1641</f>
        <v>53.6</v>
      </c>
    </row>
    <row r="1642" spans="2:11" ht="12" customHeight="1">
      <c r="B1642" s="147" t="s">
        <v>140</v>
      </c>
      <c r="C1642" s="91" t="s">
        <v>38</v>
      </c>
      <c r="D1642" s="176" t="s">
        <v>141</v>
      </c>
      <c r="E1642" s="141"/>
      <c r="F1642" s="174" t="s">
        <v>48</v>
      </c>
      <c r="G1642" s="169"/>
      <c r="H1642" s="88" t="str" cm="1">
        <f t="array" ref="H1642">_xlfn.IFS(AND(F1642&lt;&gt;"非削孔",F1642&lt;&gt;"無設定"),D1654,F1642="非削孔","箱抜き",F1642="無設定","無設定")</f>
        <v>無設定</v>
      </c>
      <c r="I1642" s="23" t="str">
        <f t="shared" si="64"/>
        <v/>
      </c>
      <c r="J1642" s="170">
        <v>0</v>
      </c>
      <c r="K1642" s="30">
        <f>D1639*J1642</f>
        <v>0</v>
      </c>
    </row>
    <row r="1643" spans="2:11" ht="12" customHeight="1">
      <c r="B1643" s="147" t="s">
        <v>142</v>
      </c>
      <c r="C1643" s="91" t="s">
        <v>38</v>
      </c>
      <c r="D1643" s="177" t="s">
        <v>160</v>
      </c>
      <c r="E1643" s="21"/>
      <c r="F1643" s="174" t="s">
        <v>48</v>
      </c>
      <c r="G1643" s="169"/>
      <c r="H1643" s="88" t="str" cm="1">
        <f t="array" ref="H1643">_xlfn.IFS(AND(F1643&lt;&gt;"非削孔",F1643&lt;&gt;"無設定"),D1654,F1643="非削孔","箱抜き",F1643="無設定","無設定")</f>
        <v>無設定</v>
      </c>
      <c r="I1643" s="23" t="str">
        <f t="shared" si="64"/>
        <v/>
      </c>
      <c r="J1643" s="170">
        <v>0</v>
      </c>
      <c r="K1643" s="30">
        <f>D1639*J1643</f>
        <v>0</v>
      </c>
    </row>
    <row r="1644" spans="2:11" ht="12" customHeight="1">
      <c r="B1644" s="114" t="str">
        <f>IF(MID(D1643,1,3)="土留め",D1643&amp;"の種類","")</f>
        <v/>
      </c>
      <c r="C1644" s="91" t="s">
        <v>38</v>
      </c>
      <c r="D1644" s="178" t="s">
        <v>71</v>
      </c>
      <c r="E1644" s="21"/>
      <c r="F1644" s="174" t="s">
        <v>48</v>
      </c>
      <c r="G1644" s="169"/>
      <c r="H1644" s="88" t="str" cm="1">
        <f t="array" ref="H1644">_xlfn.IFS(AND(F1644&lt;&gt;"非削孔",F1644&lt;&gt;"無設定"),D1654,F1644="非削孔","箱抜き",F1644="無設定","無設定")</f>
        <v>無設定</v>
      </c>
      <c r="I1644" s="23" t="str">
        <f t="shared" si="64"/>
        <v/>
      </c>
      <c r="J1644" s="170">
        <v>0</v>
      </c>
      <c r="K1644" s="30">
        <f>D1639*J1644</f>
        <v>0</v>
      </c>
    </row>
    <row r="1645" spans="2:11" ht="12" customHeight="1">
      <c r="B1645" s="179" t="s">
        <v>50</v>
      </c>
      <c r="C1645" s="180" t="s">
        <v>38</v>
      </c>
      <c r="D1645" s="181" t="s">
        <v>51</v>
      </c>
      <c r="E1645" s="182"/>
      <c r="F1645" s="174" t="s">
        <v>48</v>
      </c>
      <c r="G1645" s="169"/>
      <c r="H1645" s="88" t="str" cm="1">
        <f t="array" ref="H1645">_xlfn.IFS(AND(F1645&lt;&gt;"非削孔",F1645&lt;&gt;"無設定"),D1654,F1645="非削孔","箱抜き",F1645="無設定","無設定")</f>
        <v>無設定</v>
      </c>
      <c r="I1645" s="23" t="str">
        <f t="shared" si="64"/>
        <v/>
      </c>
      <c r="J1645" s="170">
        <v>0</v>
      </c>
      <c r="K1645" s="30">
        <f>D1639*J1645</f>
        <v>0</v>
      </c>
    </row>
    <row r="1646" spans="2:11" ht="12" customHeight="1">
      <c r="B1646" s="160" t="str" cm="1">
        <f t="array" ref="B1646">"頭部自由長"&amp;_xlfn.IFS(MID(D1643,1,2)="なし","",MID(D1643,1,3)="受圧体","(受圧体)",MID(D1643,1,3)="のり面","(角度台座＋受圧体)",MID(D1643,1,3)="構造物","(壁面台座)",MID(D1643,1,3)="土留め","(台座+腹起し)")&amp;"　Lfh"</f>
        <v>頭部自由長(角度台座＋受圧体)　Lfh</v>
      </c>
      <c r="C1646" s="155" t="s">
        <v>23</v>
      </c>
      <c r="D1646" s="183">
        <v>0.5</v>
      </c>
      <c r="E1646" s="21"/>
      <c r="F1646" s="174" t="s">
        <v>144</v>
      </c>
      <c r="G1646" s="169"/>
      <c r="H1646" s="88" cm="1">
        <f t="array" ref="H1646">_xlfn.IFS(AND(F1646&lt;&gt;"非削孔",F1646&lt;&gt;"無設定"),D1654,F1646="非削孔","箱抜き",F1646="無設定","無設定")</f>
        <v>90</v>
      </c>
      <c r="I1646" s="23" t="str">
        <f t="shared" si="64"/>
        <v>m</v>
      </c>
      <c r="J1646" s="170">
        <v>0</v>
      </c>
      <c r="K1646" s="30">
        <f>D1639*J1646</f>
        <v>0</v>
      </c>
    </row>
    <row r="1647" spans="2:11" ht="12" customHeight="1">
      <c r="B1647" s="22" t="s">
        <v>108</v>
      </c>
      <c r="C1647" s="23" t="s">
        <v>23</v>
      </c>
      <c r="D1647" s="184">
        <v>4</v>
      </c>
      <c r="E1647" s="21"/>
      <c r="F1647" s="174" t="s">
        <v>48</v>
      </c>
      <c r="G1647" s="169"/>
      <c r="H1647" s="88" t="str" cm="1">
        <f t="array" ref="H1647">_xlfn.IFS(AND(F1647&lt;&gt;"非削孔",F1647&lt;&gt;"無設定"),D1654,F1647="非削孔","箱抜き",F1647="無設定","無設定")</f>
        <v>無設定</v>
      </c>
      <c r="I1647" s="23" t="str">
        <f t="shared" si="64"/>
        <v/>
      </c>
      <c r="J1647" s="170">
        <v>0</v>
      </c>
      <c r="K1647" s="30">
        <f>D1639*J1647</f>
        <v>0</v>
      </c>
    </row>
    <row r="1648" spans="2:11" ht="12" customHeight="1">
      <c r="B1648" s="157" t="s">
        <v>36</v>
      </c>
      <c r="C1648" s="158" t="s">
        <v>23</v>
      </c>
      <c r="D1648" s="185">
        <v>4</v>
      </c>
      <c r="F1648" s="186" t="str" cm="1">
        <f t="array" ref="F1648">INDEX(F1639:H1647,MATCH("無設定",F1639:F1647,0)-1,MATCH(F1638,F1638:H1638,0))</f>
        <v>軟　岩</v>
      </c>
      <c r="G1648" s="100" t="str" cm="1">
        <f t="array" ref="G1648">INDEX(F1639:H1647,MATCH("無設定",F1639:F1647,0)-1,MATCH(G1638,F1638:H1638,0))&amp;"　(先端長 L2d)"</f>
        <v>風化岩 CL　(先端長 L2d)</v>
      </c>
      <c r="H1648" s="88" cm="1">
        <f t="array" ref="H1648">INDEX(F1639:H1647,MATCH("無設定",F1639:F1647,0)-1,MATCH(H1638,F1638:H1638,0))</f>
        <v>90</v>
      </c>
      <c r="I1648" s="23" t="str">
        <f t="shared" si="64"/>
        <v>m</v>
      </c>
      <c r="J1648" s="98">
        <f>D1653</f>
        <v>0.25</v>
      </c>
      <c r="K1648" s="78">
        <f>IFERROR(D1639*J1648,"")</f>
        <v>2.5</v>
      </c>
    </row>
    <row r="1649" spans="2:11" ht="12" customHeight="1">
      <c r="B1649" s="154" t="s">
        <v>145</v>
      </c>
      <c r="C1649" s="155" t="s">
        <v>23</v>
      </c>
      <c r="D1649" s="187">
        <f>IF(OR(D1639=0,D1640="　"),"──",SUM(D1646:D1647))</f>
        <v>4.5</v>
      </c>
      <c r="E1649" s="19"/>
      <c r="F1649" s="188"/>
      <c r="G1649" s="75" t="s">
        <v>124</v>
      </c>
      <c r="H1649" s="103"/>
      <c r="I1649" s="18" t="s">
        <v>23</v>
      </c>
      <c r="J1649" s="74">
        <f>SUMIFS(J1639:J1648,F1639:F1648,"&lt;&gt;非削孔",F1639:F1648,"&lt;&gt;無設定")</f>
        <v>8.25</v>
      </c>
      <c r="K1649" s="95">
        <f>SUMIFS(K1639:K1648,F1639:F1648,"&lt;&gt;非削孔",F1639:F1648,"&lt;&gt;無設定")</f>
        <v>82.5</v>
      </c>
    </row>
    <row r="1650" spans="2:11" ht="12" customHeight="1">
      <c r="B1650" s="146" t="s">
        <v>146</v>
      </c>
      <c r="C1650" s="23" t="s">
        <v>23</v>
      </c>
      <c r="D1650" s="189" cm="1">
        <f t="array" ref="D1650">IF(OR(D1639=0,D1640="　"),"──",IF(MID(D1640,4,1)="5",_xlfn.IFS(1*MID(LEFT(D1640, LEN(D1640)-1),6,2)&lt;8,1,1*MID(LEFT(D1640, LEN(D1640)-1),6,2)&lt;13,1.2),_xlfn.IFS(1*MID(LEFT(D1640, LEN(D1640)-1),6,2)&lt;6,1,1*MID(LEFT(D1640, LEN(D1640)-1),6,2)&lt;15,1.2)))</f>
        <v>1</v>
      </c>
      <c r="E1650" s="19"/>
      <c r="F1650" s="190"/>
      <c r="G1650" s="76" t="s">
        <v>47</v>
      </c>
      <c r="H1650" s="104"/>
      <c r="I1650" s="79" t="s">
        <v>46</v>
      </c>
      <c r="J1650" s="77" t="str">
        <f>IF(OR(D1639=0,D1640="　"),"",IF(SUM(D1647:D1648,D1653)=J1649,"OK","NG"))</f>
        <v>OK</v>
      </c>
      <c r="K1650" s="145" t="str">
        <f>IF(J1650&lt;&gt;"NG","──",J1649-SUM(D1647:D1648,D1653))</f>
        <v>──</v>
      </c>
    </row>
    <row r="1651" spans="2:11" ht="12" customHeight="1">
      <c r="B1651" s="22" t="s">
        <v>125</v>
      </c>
      <c r="C1651" s="23" t="s">
        <v>35</v>
      </c>
      <c r="D1651" s="84">
        <f>IF(OR(D1639=0,D1640="　"),"──",0.2)</f>
        <v>0.2</v>
      </c>
      <c r="F1651" s="191" t="s">
        <v>58</v>
      </c>
      <c r="G1651" s="248" t="s">
        <v>110</v>
      </c>
      <c r="H1651" s="249"/>
      <c r="I1651" s="249"/>
      <c r="J1651" s="249"/>
      <c r="K1651" s="250"/>
    </row>
    <row r="1652" spans="2:11" ht="12" customHeight="1">
      <c r="B1652" s="6" t="s">
        <v>147</v>
      </c>
      <c r="C1652" s="23" t="s">
        <v>23</v>
      </c>
      <c r="D1652" s="60">
        <f>IF(OR(D1639=0,D1640="　"),"──",SUM(D1648:D1651))</f>
        <v>9.6999999999999993</v>
      </c>
    </row>
    <row r="1653" spans="2:11" ht="12" customHeight="1">
      <c r="B1653" s="25" t="s">
        <v>127</v>
      </c>
      <c r="C1653" s="26" t="s">
        <v>23</v>
      </c>
      <c r="D1653" s="27">
        <f>IF(OR(D1639=0,D1640="　"),"──",0.25)</f>
        <v>0.25</v>
      </c>
      <c r="F1653" s="8"/>
      <c r="G1653" s="8"/>
      <c r="H1653" s="102"/>
    </row>
    <row r="1654" spans="2:11" ht="12" customHeight="1">
      <c r="B1654" s="95" t="s">
        <v>123</v>
      </c>
      <c r="C1654" s="18" t="s">
        <v>32</v>
      </c>
      <c r="D1654" s="192">
        <v>90</v>
      </c>
      <c r="E1654" s="193" t="str">
        <f>IF(D1654&lt;D1655,"NG：削孔径不適合","")</f>
        <v/>
      </c>
      <c r="F1654" s="8"/>
      <c r="G1654" s="8"/>
      <c r="H1654" s="102"/>
    </row>
    <row r="1655" spans="2:11" ht="12" customHeight="1">
      <c r="B1655" s="25" t="s">
        <v>122</v>
      </c>
      <c r="C1655" s="26" t="s">
        <v>32</v>
      </c>
      <c r="D1655" s="194" cm="1">
        <f t="array" ref="D1655">IF(OR(D1639=0,D1640="　"),"──",IF(D1645="なし",IF(MID(D1640,4,1)="5",_xlfn.IFS(1*MID(LEFT(D1640, LEN(D1640)-1),6,2)&lt;6,90,1*MID(LEFT(D1640, LEN(D1640)-1),6,2)&lt;9,115,1*MID(LEFT(D1640, LEN(D1640)-1),6,2)&gt;8,135),_xlfn.IFS(1*MID(LEFT(D1640, LEN(D1640)-1),6,2)&lt;4,90,1*MID(LEFT(D1640, LEN(D1640)-1),6,2)&lt;7,115,1*MID(LEFT(D1640, LEN(D1640)-1),6,2)&lt;10,135,1*MID(LEFT(D1640, LEN(D1640)-1),6,2)&lt;13,146,1*MID(LEFT(D1640, LEN(D1640)-1),6,2)&gt;12,165)),IF(MID(D1640,4,1)="5",_xlfn.IFS(1*MID(LEFT(D1640, LEN(D1640)-1),6,2)&lt;3,90,1*MID(LEFT(D1640, LEN(D1640)-1),6,2)&lt;7,115,1*MID(LEFT(D1640, LEN(D1640)-1),6,2)&lt;9,135,1*MID(LEFT(D1640, LEN(D1640)-1),6,2)&gt;8,146),_xlfn.IFS(1*MID(LEFT(D1640, LEN(D1640)-1),6,2)&lt;3,90,1*MID(LEFT(D1640, LEN(D1640)-1),6,2)&lt;4,115,1*MID(LEFT(D1640, LEN(D1640)-1),6,2)&lt;6,135,1*MID(LEFT(D1640, LEN(D1640)-1),6,2)&lt;10,146,1*MID(LEFT(D1640, LEN(D1640)-1),6,2)&lt;13,165,1*MID(LEFT(D1640, LEN(D1640)-1),6,2)&gt;12,216))))</f>
        <v>90</v>
      </c>
      <c r="E1655" s="195"/>
      <c r="F1655" s="8"/>
      <c r="G1655" s="8"/>
      <c r="H1655" s="102"/>
    </row>
    <row r="1656" spans="2:11" ht="12" customHeight="1">
      <c r="B1656" s="20"/>
      <c r="C1656" s="46"/>
      <c r="D1656" s="117"/>
      <c r="F1656" s="8"/>
      <c r="G1656" s="8"/>
      <c r="H1656" s="102"/>
    </row>
    <row r="1657" spans="2:11" ht="12" customHeight="1">
      <c r="B1657" s="15" t="str">
        <f>"■"&amp;MID(B1634,2,14)</f>
        <v>■本設：EHDアンカーHP工法</v>
      </c>
      <c r="C1657" s="3"/>
      <c r="D1657" s="1"/>
      <c r="E1657" s="1"/>
      <c r="F1657" s="8"/>
      <c r="G1657" s="8"/>
      <c r="H1657" s="102"/>
    </row>
    <row r="1658" spans="2:11" ht="12" customHeight="1">
      <c r="B1658" s="2" t="s">
        <v>17</v>
      </c>
      <c r="C1658" s="43"/>
      <c r="D1658" s="196" t="s">
        <v>148</v>
      </c>
      <c r="E1658" s="135"/>
      <c r="F1658" s="16"/>
      <c r="G1658" s="61" t="s">
        <v>42</v>
      </c>
      <c r="H1658" s="97"/>
      <c r="I1658" s="2" t="s">
        <v>21</v>
      </c>
      <c r="J1658" s="49" t="s">
        <v>149</v>
      </c>
      <c r="K1658" s="2" t="s">
        <v>28</v>
      </c>
    </row>
    <row r="1659" spans="2:11" ht="12" customHeight="1">
      <c r="B1659" s="197" t="s">
        <v>150</v>
      </c>
      <c r="C1659" s="198" t="str">
        <f>IF(OR(D1639=0,D1640="　"),"",D1640&amp;" ("&amp;MID(LEFT(D1640, LEN(D1640)-1),6,2)&amp;IF(MID(D1640,4,1)="5","φ12.7","φ15.2")&amp;")")</f>
        <v>EHD5-4H (4φ12.7)</v>
      </c>
      <c r="D1659" s="199"/>
      <c r="E1659" s="200"/>
      <c r="F1659" s="201" t="str">
        <f>"W=テンドン長×PC鋼より線本数×"&amp;IF(MID(D1640,4,1)="5","0.774","1.101")&amp;"kg/m"</f>
        <v>W=テンドン長×PC鋼より線本数×0.774kg/m</v>
      </c>
      <c r="G1659" s="202"/>
      <c r="H1659" s="203"/>
      <c r="I1659" s="204" t="s">
        <v>11</v>
      </c>
      <c r="J1659" s="205">
        <f>IF(OR(D1639=0,D1640="　"),"",MROUND(D1652*MID(LEFT(D1640, LEN(D1640)-1),6,2)*IF(MID(D1640,4,1)="5","0.774","1.101"),0.01))</f>
        <v>30.03</v>
      </c>
      <c r="K1659" s="205">
        <f>IFERROR(D1639*J1659,"")</f>
        <v>300.3</v>
      </c>
    </row>
    <row r="1660" spans="2:11" ht="12" customHeight="1">
      <c r="B1660" s="206" t="s">
        <v>151</v>
      </c>
      <c r="C1660" s="207"/>
      <c r="D1660" s="208"/>
      <c r="E1660" s="209"/>
      <c r="F1660" s="210" t="s">
        <v>33</v>
      </c>
      <c r="G1660" s="211"/>
      <c r="H1660" s="212"/>
      <c r="I1660" s="213" t="s">
        <v>12</v>
      </c>
      <c r="J1660" s="214">
        <f>IF(OR(D1639=0,D1640="　"),"",MROUND(D1652,0.1))</f>
        <v>9.7000000000000011</v>
      </c>
      <c r="K1660" s="214">
        <f>IFERROR(D1639*J1660,"")</f>
        <v>97.000000000000014</v>
      </c>
    </row>
    <row r="1661" spans="2:11" ht="12" customHeight="1">
      <c r="B1661" s="206" t="str">
        <f>"頭部キャップ"</f>
        <v>頭部キャップ</v>
      </c>
      <c r="C1661" s="207" t="str" cm="1">
        <f t="array" ref="C1661">IF(OR(D1639=0,D1640="　"),"",IF(MID(D1640,4,1)="5",_xlfn.SWITCH(1*MID(LEFT(D1640, LEN(D1640)-1),6,2),1,"S",2,"S",3,"S",4,"S",5,"M",6,"M",7,"M",8,"L",9,"L",10,"L",11,"L",12,"L"),_xlfn.SWITCH(1*MID(LEFT(D1640, LEN(D1640)-1),6,2),1,"S",2,"S",3,"M",4,"M",5,"L",6,"L",7,"L",8,"LL",9,"LL",10,"LL",11,"LL",12,"LL",13,"LL",14,"LL"))&amp;"型"&amp;D1642&amp;IF(OR(MID(D1642,1,2)="透明",MID(D1642,1,2)="5窓"),"、PC樹脂","")&amp;"、ｱﾙﾐAC4C相当"&amp;_xlfn.IFS(MID(D1641,1,3)="防食Ⅱ","",MID(D1641,5,2)="塩害","、防食：ﾀｹｺｰﾄ処理",MID(D1641,5,2)="酸性","、防食：重防食処理"))</f>
        <v>S型透明キャップ、PC樹脂、ｱﾙﾐAC4C相当</v>
      </c>
      <c r="D1661" s="215"/>
      <c r="E1661" s="216"/>
      <c r="F1661" s="217" t="str">
        <f t="shared" ref="F1661:F1667" si="65">"n=1"</f>
        <v>n=1</v>
      </c>
      <c r="G1661" s="218"/>
      <c r="H1661" s="219"/>
      <c r="I1661" s="213" t="s">
        <v>13</v>
      </c>
      <c r="J1661" s="220" t="str">
        <f>IF(OR(D1639=0,D1640="　"),"",MID(F1661,3,2))</f>
        <v>1</v>
      </c>
      <c r="K1661" s="214">
        <f>IFERROR(D1639*J1661,"")</f>
        <v>10</v>
      </c>
    </row>
    <row r="1662" spans="2:11" ht="12" customHeight="1">
      <c r="B1662" s="206" t="s">
        <v>5</v>
      </c>
      <c r="C1662" s="207" t="str" cm="1">
        <f t="array" ref="C1662">IF(OR(D1639=0,D1640="　"),"",IF(MID(D1640,4,1)="5","G5"&amp;_xlfn.SWITCH(1*MID(LEFT(D1640, LEN(D1640)-1),6,2),1,"01",2,"02",3,"03",4,"04",5,"07",6,"07",7,"07",8,"09",9,"09",10,"12",11,"12",12,"12"),"G6"&amp;_xlfn.SWITCH(1*MID(LEFT(D1640, LEN(D1640)-1),6,2),1,"01",2,"02",3,"03",4,"04",5,"07",6,"07",7,"07",8,"09",9,"09",10,"12",11,"12",12,"12",13,"14",14,"14"))&amp;"、S45C相当"&amp;IF(MID(D1642,1,3)&lt;&gt;"アルミ","、防食：無電解Niめっき",""))</f>
        <v>G504、S45C相当、防食：無電解Niめっき</v>
      </c>
      <c r="D1662" s="208"/>
      <c r="E1662" s="209"/>
      <c r="F1662" s="217" t="str">
        <f t="shared" si="65"/>
        <v>n=1</v>
      </c>
      <c r="G1662" s="218"/>
      <c r="H1662" s="219"/>
      <c r="I1662" s="213" t="s">
        <v>13</v>
      </c>
      <c r="J1662" s="220" t="str">
        <f>IF(OR(D1639=0,D1640="　"),"",MID(F1662,3,2))</f>
        <v>1</v>
      </c>
      <c r="K1662" s="214">
        <f>IFERROR(D1639*J1662,"")</f>
        <v>10</v>
      </c>
    </row>
    <row r="1663" spans="2:11" ht="12" customHeight="1">
      <c r="B1663" s="206" t="s">
        <v>152</v>
      </c>
      <c r="C1663" s="207" t="str" cm="1">
        <f t="array" ref="C1663">IF(OR(D1639=0,D1640="　"),"",IF(MID(D1640,4,1)="5","G5"&amp;_xlfn.SWITCH(1*MID(LEFT(D1640, LEN(D1640)-1),6,2),1,"01",2,"02",3,"03",4,"04",5,"07",6,"07",7,"07",8,"09",9,"09",10,"12",11,"12",12,"12"),"G6"&amp;_xlfn.SWITCH(1*MID(LEFT(D1640, LEN(D1640)-1),6,2),1,"01",2,"02",3,"03",4,"04",5,"07",6,"07",7,"07",8,"09",9,"09",10,"12",11,"12",12,"12",13,"14",14,"14"))&amp;"、S45C相当"&amp;IF(MID(D1642,1,3)&lt;&gt;"アルミ","、防食：無電解Niめっき",""))</f>
        <v>G504、S45C相当、防食：無電解Niめっき</v>
      </c>
      <c r="D1663" s="208"/>
      <c r="E1663" s="209"/>
      <c r="F1663" s="217" t="str">
        <f t="shared" si="65"/>
        <v>n=1</v>
      </c>
      <c r="G1663" s="218"/>
      <c r="H1663" s="219"/>
      <c r="I1663" s="213" t="s">
        <v>13</v>
      </c>
      <c r="J1663" s="220" t="str">
        <f>IF(OR(D1639=0,D1640="　"),"",MID(F1663,3,2))</f>
        <v>1</v>
      </c>
      <c r="K1663" s="214">
        <f>IFERROR(D1639*J1663,"")</f>
        <v>10</v>
      </c>
    </row>
    <row r="1664" spans="2:11" ht="12" customHeight="1">
      <c r="B1664" s="206" t="s">
        <v>7</v>
      </c>
      <c r="C1664" s="207" t="str">
        <f>IF(OR(D1639=0,D1640="　"),"",IF(1*MID(D1640,4,1)=5,"ECF12.7","ECF15.2")&amp;"、SCM415相当"&amp;IF(MID(D1642,1,3)&lt;&gt;"アルミ","、防食：無電解Niめっき",""))</f>
        <v>ECF12.7、SCM415相当、防食：無電解Niめっき</v>
      </c>
      <c r="D1664" s="208"/>
      <c r="E1664" s="209"/>
      <c r="F1664" s="217" t="str">
        <f t="shared" si="65"/>
        <v>n=1</v>
      </c>
      <c r="G1664" s="218"/>
      <c r="H1664" s="219"/>
      <c r="I1664" s="213" t="s">
        <v>27</v>
      </c>
      <c r="J1664" s="220" t="str">
        <f>IF(OR(D1639=0,D1640="　"),"",MID(F1664,3,2))</f>
        <v>1</v>
      </c>
      <c r="K1664" s="214">
        <f>IFERROR(D1639*J1664,"")</f>
        <v>10</v>
      </c>
    </row>
    <row r="1665" spans="2:11" ht="12" customHeight="1">
      <c r="B1665" s="206" t="s">
        <v>153</v>
      </c>
      <c r="C1665" s="207" t="str" cm="1">
        <f t="array" ref="C1665">IF(OR(D1639=0,D1640="　"),"",IF(MID(D1640,4,1)="5","G5"&amp;_xlfn.SWITCH(1*MID(LEFT(D1640, LEN(D1640)-1),6,2),1,"01",2,"04",3,"03",4,"04",5,"07",6,"07",7,"07",8,"12",9,"12",10,"12",11,"12",12,"12"),"G6"&amp;_xlfn.SWITCH(1*MID(LEFT(D1640, LEN(D1640)-1),6,2),1,"01",2,"02",3,"03",4,"04",5,"07",6,"07",7,"07",8,"12",9,"12",10,"12",11,"12",12,"12",13,"14",14,"14"))&amp;"、SS400相当、防食："&amp;_xlfn.IFS(MID(D1641,1,3)="防食Ⅱ","HDZT77めっき",MID(D1641,5,2)="塩害","ｱﾙﾐﾅｲｽﾞ処理",MID(D1641,5,2)="酸性","重防食処理"))</f>
        <v>G504、SS400相当、防食：HDZT77めっき</v>
      </c>
      <c r="D1665" s="208"/>
      <c r="E1665" s="209"/>
      <c r="F1665" s="217" t="str">
        <f t="shared" si="65"/>
        <v>n=1</v>
      </c>
      <c r="G1665" s="218"/>
      <c r="H1665" s="219"/>
      <c r="I1665" s="213" t="s">
        <v>16</v>
      </c>
      <c r="J1665" s="220" t="str">
        <f>IF(OR(D1639=0,D1640="　"),"",MID(F1665,3,2))</f>
        <v>1</v>
      </c>
      <c r="K1665" s="214">
        <f>IFERROR(D1639*J1665,"")</f>
        <v>10</v>
      </c>
    </row>
    <row r="1666" spans="2:11" ht="12" customHeight="1">
      <c r="B1666" s="206" t="str">
        <f>IF(MID(D1643,1,3)="のり面","管付","")&amp;"支圧板"</f>
        <v>管付支圧板</v>
      </c>
      <c r="C1666" s="221" t="str" cm="1">
        <f t="array" ref="C1666">IF(OR(D1639=0,D1640="　"),"","PL"&amp;IF(MID(D1643,1,3)="のり面","P","")&amp;IF(MID(D1640,4,1)="5","5-"&amp;_xlfn.SWITCH(1*MID(LEFT(D1640, LEN(D1640)-1),6,2),1,"1",2,"2",3,"3",4,"4",5,"5",6,"6",7,"7",8,"9",9,"9",10,"10",11,"11",12,"12"),"6-"&amp;_xlfn.SWITCH(1*MID(LEFT(D1640, LEN(D1640)-1),6,2),1,"1",2,"2",3,"3",4,"4",5,"6",6,"6",7,"7",8,"8",9,"9",10,"10",11,"11",12,"12",13,"14",14,"14"))&amp;"、SS400相当、防食："&amp;_xlfn.IFS(MID(D1641,1,3)="防食Ⅱ","HDZT77めっき",MID(D1641,5,2)="塩害","ｱﾙﾐﾅｲｽﾞ処理",MID(D1641,5,2)="酸性","重防食処理"))</f>
        <v>PLP5-4、SS400相当、防食：HDZT77めっき</v>
      </c>
      <c r="D1666" s="208"/>
      <c r="E1666" s="209"/>
      <c r="F1666" s="217" t="str">
        <f t="shared" si="65"/>
        <v>n=1</v>
      </c>
      <c r="G1666" s="218"/>
      <c r="H1666" s="219"/>
      <c r="I1666" s="213" t="s">
        <v>16</v>
      </c>
      <c r="J1666" s="220" t="str">
        <f>IF(OR(D1639=0,D1640="　"),"",MID(F1666,3,2))</f>
        <v>1</v>
      </c>
      <c r="K1666" s="214">
        <f>IFERROR(D1639*J1666,"")</f>
        <v>10</v>
      </c>
    </row>
    <row r="1667" spans="2:11" ht="12" customHeight="1">
      <c r="B1667" s="206" t="s">
        <v>154</v>
      </c>
      <c r="C1667" s="207" t="str">
        <f>IF(OR(D1639=0,D1640="　"),"","G"&amp;MID(LEFT(D1640, LEN(D1640)-1),4,4)&amp;"、NBR45相当")</f>
        <v>G5-4、NBR45相当</v>
      </c>
      <c r="D1667" s="208"/>
      <c r="E1667" s="209"/>
      <c r="F1667" s="217" t="str">
        <f t="shared" si="65"/>
        <v>n=1</v>
      </c>
      <c r="G1667" s="218"/>
      <c r="H1667" s="219"/>
      <c r="I1667" s="213" t="s">
        <v>13</v>
      </c>
      <c r="J1667" s="220" t="str">
        <f>IF(OR(D1639=0,D1640="　"),"",MID(F1667,3,2))</f>
        <v>1</v>
      </c>
      <c r="K1667" s="214">
        <f>IFERROR(D1639*J1667,"")</f>
        <v>10</v>
      </c>
    </row>
    <row r="1668" spans="2:11" ht="12" customHeight="1">
      <c r="B1668" s="206" t="str" cm="1">
        <f t="array" ref="B1668">_xlfn.IFS(OR(D1639=0,D1640="　"),"",MID(D1642,1,3)="アルミ","頭部防錆油",MID(D1642,1,3)&lt;&gt;"アルミ","余長キャップ")</f>
        <v>余長キャップ</v>
      </c>
      <c r="C1668" s="221" t="str" cm="1">
        <f t="array" ref="C1668">_xlfn.IFS(OR(D1639=0,D1640="　"),"",MID(D1642,1,3)="アルミ","PCコートC",MID(D1642,1,3)&lt;&gt;"アルミ","TC"&amp;MID(D1640,4,1)&amp;"、高密度ポチエチレン")</f>
        <v>TC5、高密度ポチエチレン</v>
      </c>
      <c r="D1668" s="208"/>
      <c r="E1668" s="209"/>
      <c r="F1668" s="217" t="str" cm="1">
        <f t="array" ref="F1668">_xlfn.IFS(OR(D1639=0,D1640="　"),"",MID(D1642,1,3)="アルミ","W="&amp;IF(MID(D1640,4,1)="5",_xlfn.SWITCH(1*MID(LEFT(D1640, LEN(D1640)-1),6,2),1,1.9,2,1.3,3,1.3,4,1.3,5,1.6,6,1.6,7,1.6,8,3.1,9,3.1,10,3.1,11,3.1,12,3.1),"G6"&amp;_xlfn.SWITCH(1*MID(LEFT(D1640, LEN(D1640)-1),6,2),1,1.8,2,1.3,3,1.8,4,1.8,5,3.3,6,3.3,7,3.3,8,9.9,9,9.9,10,9.9,11,9.9,12,9.9,13,9.9,14,9.9)),MID(D1642,1,3)&lt;&gt;"アルミ","n=1")</f>
        <v>n=1</v>
      </c>
      <c r="G1668" s="218"/>
      <c r="H1668" s="219"/>
      <c r="I1668" s="213" t="str" cm="1">
        <f t="array" ref="I1668">_xlfn.IFS(OR(D1639=0,D1640="　"),"",MID(D1642,1,3)="アルミ","kg",MID(D1642,1,3)&lt;&gt;"アルミ","式")</f>
        <v>式</v>
      </c>
      <c r="J1668" s="220" t="str">
        <f>IF(OR(D1639=0,D1640="　"),"",MID(F1668,3,4))</f>
        <v>1</v>
      </c>
      <c r="K1668" s="214">
        <f>IFERROR(D1639*J1668,"")</f>
        <v>10</v>
      </c>
    </row>
    <row r="1669" spans="2:11" ht="12" customHeight="1">
      <c r="B1669" s="206" t="s">
        <v>9</v>
      </c>
      <c r="C1669" s="207" t="str" cm="1">
        <f t="array" ref="C1669">IF(OR(D1639=0,D1640="　"),"",IF(MID(D1640,4,1)="5","PS5-"&amp;_xlfn.SWITCH(1*MID(LEFT(D1640, LEN(D1640)-1),6,2),1,"7",2,"2",3,"3",4,"4",5,"7",6,"7",7,"7",8,"12",9,"12",10,"12",11,"12",12,"12"),"PS6-"&amp;_xlfn.SWITCH(1*MID(LEFT(D1640, LEN(D1640)-1),6,2),1,"7",2,"2",3,"3",4,"4",5,"7",6,"7",7,"7",8,"12",9,"12",10,"12",11,"12",12,"12",13,"14",14,"14"))&amp;"、高密度ポリエチレン")</f>
        <v>PS5-4、高密度ポリエチレン</v>
      </c>
      <c r="D1669" s="208"/>
      <c r="E1669" s="209"/>
      <c r="F1669" s="217" t="str">
        <f>"n=2"</f>
        <v>n=2</v>
      </c>
      <c r="G1669" s="218"/>
      <c r="H1669" s="219"/>
      <c r="I1669" s="213" t="s">
        <v>13</v>
      </c>
      <c r="J1669" s="220" t="str">
        <f>IF(OR(D1639=0,D1640="　"),"",MID(F1669,3,2))</f>
        <v>2</v>
      </c>
      <c r="K1669" s="214">
        <f>IFERROR(D1639*J1669,"")</f>
        <v>20</v>
      </c>
    </row>
    <row r="1670" spans="2:11" ht="12" customHeight="1">
      <c r="B1670" s="206" t="s">
        <v>2</v>
      </c>
      <c r="C1670" s="207" t="str" cm="1">
        <f t="array" ref="C1670">IF(OR(D1639=0,D1640="　"),"",IF(MID(D1640,4,1)="5","S5-"&amp;_xlfn.IFS(1*MID(LEFT(D1640, LEN(D1640)-1),6,2)&lt;6,"5",1*MID(LEFT(D1640, LEN(D1640)-1),6,2)&lt;9,"8",1*MID(LEFT(D1640, LEN(D1640)-1),6,2)&gt;8,"12"),"S6-"&amp;_xlfn.IFS(1*MID(LEFT(D1640, LEN(D1640)-1),6,2)&lt;4,"3",1*MID(LEFT(D1640, LEN(D1640)-1),6,2)&lt;7,"6",1*MID(LEFT(D1640, LEN(D1640)-1),6,2)&lt;10,"9",1*MID(LEFT(D1640, LEN(D1640)-1),6,2)&lt;13,"12",1*MID(LEFT(D1640, LEN(D1640)-1),6,2)&gt;12,"14"))&amp;"、ポリプロピレン")</f>
        <v>S5-5、ポリプロピレン</v>
      </c>
      <c r="D1670" s="208"/>
      <c r="E1670" s="209"/>
      <c r="F1670" s="222" t="s">
        <v>155</v>
      </c>
      <c r="G1670" s="211"/>
      <c r="H1670" s="212"/>
      <c r="I1670" s="213" t="s">
        <v>13</v>
      </c>
      <c r="J1670" s="206">
        <f>IF(OR(D1639=0,D1640="　"),"",MROUND((D1648-0.4)/1,1))</f>
        <v>4</v>
      </c>
      <c r="K1670" s="214">
        <f>IFERROR(D1639*J1670,"")</f>
        <v>40</v>
      </c>
    </row>
    <row r="1671" spans="2:11" ht="12" customHeight="1">
      <c r="B1671" s="206" t="s">
        <v>1</v>
      </c>
      <c r="C1671" s="207" t="str" cm="1">
        <f t="array" ref="C1671">IF(OR(D1639=0,D1640="　"),"",IF(MID(D1640,4,1)="5","PC5-"&amp;_xlfn.IFS(1*MID(LEFT(D1640, LEN(D1640)-1),6,2)&lt;5,"4",1*MID(LEFT(D1640, LEN(D1640)-1),6,2)&lt;8,"7",1*MID(LEFT(D1640, LEN(D1640)-1),6,2)&lt;10,"9",1*MID(LEFT(D1640, LEN(D1640)-1),6,2)&gt;9,"12"),"PC6-"&amp;_xlfn.IFS(1*MID(LEFT(D1640, LEN(D1640)-1),6,2)&lt;4,"3",1*MID(LEFT(D1640, LEN(D1640)-1),6,2)&lt;8,"7",1*MID(LEFT(D1640, LEN(D1640)-1),6,2)&lt;13,"12",1*MID(LEFT(D1640, LEN(D1640)-1),6,2)&gt;12,"14"))&amp;"、ポリプロピレン")</f>
        <v>PC5-4、ポリプロピレン</v>
      </c>
      <c r="D1671" s="208"/>
      <c r="E1671" s="209"/>
      <c r="F1671" s="217" t="str">
        <f>"n=1"</f>
        <v>n=1</v>
      </c>
      <c r="G1671" s="218"/>
      <c r="H1671" s="219"/>
      <c r="I1671" s="213" t="s">
        <v>13</v>
      </c>
      <c r="J1671" s="220" t="str">
        <f>IF(OR(D1639=0,D1640="　"),"",MID(F1671,3,2))</f>
        <v>1</v>
      </c>
      <c r="K1671" s="214">
        <f>IFERROR(D1639*J1671,"")</f>
        <v>10</v>
      </c>
    </row>
    <row r="1672" spans="2:11" ht="12" customHeight="1">
      <c r="B1672" s="206" t="s">
        <v>3</v>
      </c>
      <c r="C1672" s="207" t="str">
        <f>IF(OR(D1639=0,D1640="　"),"","66ナイロン")</f>
        <v>66ナイロン</v>
      </c>
      <c r="D1672" s="208"/>
      <c r="E1672" s="209"/>
      <c r="F1672" s="222" t="s">
        <v>156</v>
      </c>
      <c r="G1672" s="211"/>
      <c r="H1672" s="212"/>
      <c r="I1672" s="213" t="s">
        <v>14</v>
      </c>
      <c r="J1672" s="206">
        <f>IF(OR(D1639=0,D1640="　"),"",2*J1670)</f>
        <v>8</v>
      </c>
      <c r="K1672" s="214">
        <f>IFERROR(D1639*J1672,"")</f>
        <v>80</v>
      </c>
    </row>
    <row r="1673" spans="2:11" ht="12" customHeight="1">
      <c r="B1673" s="206" t="s">
        <v>4</v>
      </c>
      <c r="C1673" s="207" t="str">
        <f>IF(OR(D1639=0,D1640="　"),"","フィラメントテープ")</f>
        <v>フィラメントテープ</v>
      </c>
      <c r="D1673" s="208"/>
      <c r="E1673" s="209"/>
      <c r="F1673" s="222" t="str">
        <f>IF(OR(D1639=0,D1640="　"),"","L=((自由長+緊張部長)÷@1.0m)×テープ係数"&amp;IF(MID(D1640,4,1)="5",_xlfn.IFS(1*MID(LEFT(D1640, LEN(D1640)-1),6,2)&lt;4,"0.8",1*MID(LEFT(D1640, LEN(D1640)-1),6,2)&lt;7,"1.0",1*MID(LEFT(D1640, LEN(D1640)-1),6,2)&lt;10,"1.2",1*MID(LEFT(D1640, LEN(D1640)-1),6,2)&lt;13,"1.4"),_xlfn.IFS(1*MID(LEFT(D1640, LEN(D1640)-1),6,2)&lt;4,"1.0",1*MID(LEFT(D1640, LEN(D1640)-1),6,2)&lt;7,"1.2",1*MID(LEFT(D1640, LEN(D1640)-1),6,2)&lt;10,"1.4",1*MID(LEFT(D1640, LEN(D1640)-1),6,2)&lt;15,"1.8")))</f>
        <v>L=((自由長+緊張部長)÷@1.0m)×テープ係数1.0</v>
      </c>
      <c r="G1673" s="211"/>
      <c r="H1673" s="212"/>
      <c r="I1673" s="213" t="s">
        <v>12</v>
      </c>
      <c r="J1673" s="223">
        <f>IF(OR(D1639=0,D1640="　"),"",MROUND((SUM(D1649,D1650))/1*RIGHT(F1673, 3),0.1))</f>
        <v>5.5</v>
      </c>
      <c r="K1673" s="214">
        <f>IFERROR(D1639*J1673,"")</f>
        <v>55</v>
      </c>
    </row>
    <row r="1674" spans="2:11" ht="12" customHeight="1">
      <c r="B1674" s="206" t="s">
        <v>0</v>
      </c>
      <c r="C1674" s="207" t="str">
        <f>IF(OR(D1639=0,D1640="　"),"","16/20、高密度ポリエチレン")</f>
        <v>16/20、高密度ポリエチレン</v>
      </c>
      <c r="D1674" s="208"/>
      <c r="E1674" s="209"/>
      <c r="F1674" s="210" t="s">
        <v>33</v>
      </c>
      <c r="G1674" s="211"/>
      <c r="H1674" s="212"/>
      <c r="I1674" s="213" t="s">
        <v>12</v>
      </c>
      <c r="J1674" s="214">
        <f>IF(OR(D1639=0,D1640="　"),"",MROUND(D1652,0.1))</f>
        <v>9.7000000000000011</v>
      </c>
      <c r="K1674" s="214">
        <f>IFERROR(D1639*J1674,"")</f>
        <v>97.000000000000014</v>
      </c>
    </row>
    <row r="1675" spans="2:11" ht="12" customHeight="1">
      <c r="B1675" s="206" t="str" cm="1">
        <f t="array" ref="B1675">_xlfn.IFS(OR(D1639=0,D1640="　",MID(D1643,1,2)="なし",MID(D1643,1,3)="受圧体"),"",MID(D1643,1,3)="のり面","のり面角度台座",MID(D1643,1,3)="構造物","構造物壁面台座",MID(D1643,1,3)="土留め","土留め台座")</f>
        <v>のり面角度台座</v>
      </c>
      <c r="C1675" s="210" t="str" cm="1">
        <f t="array" ref="C1675">IF(OR(D1639=0,D1640="　",MID(D1643,1,2)="なし",MID(D1643,1,3)="受圧体"),"",_xlfn.IFS(MID(D1643,1,3)="のり面",IF(1*MID(D1640,4,1)=5,_xlfn.IFS(1*MID(LEFT(D1640, LEN(D1640)-1),6,2)&lt;5,"ST140",1*MID(LEFT(D1640, LEN(D1640)-1),6,2)&lt;8,"ST170",1*MID(LEFT(D1640, LEN(D1640)-1),6,2)&lt;13,"ST220"),_xlfn.IFS(1*MID(LEFT(D1640, LEN(D1640)-1),6,2)&lt;4,"ST140",1*MID(LEFT(D1640, LEN(D1640)-1),6,2)&lt;5,"ST170",1*MID(LEFT(D1640, LEN(D1640)-1),6,2)&lt;8,"ST220",1*MID(LEFT(D1640, LEN(D1640)-1),6,2)&lt;15,"非該当"))&amp;"、FCD450相当、防食："&amp;_xlfn.IFS(MID(D1641,1,3)="防食Ⅱ","HDZT77めっき",MID(D1641,5,2)="塩害","ｱﾙﾐﾅｲｽﾞ処理",MID(D1641,5,2)="酸性","重防食処理"),OR(MID(D1643,1,3)="構造物",MID(D1643,1,3)="土留め"),D1640&amp;"用"&amp;IF(OR(MID(D1643,1,3)="構造物",D1644="　"),"",D1644)&amp;"、防食："&amp;_xlfn.IFS(MID(D1641,1,3)="防食Ⅱ","HDZT77めっき",MID(D1641,5,2)="塩害","ｱﾙﾐﾅｲｽﾞ処理",MID(D1641,5,2)="酸性","重防食処理")))</f>
        <v>ST140、FCD450相当、防食：HDZT77めっき</v>
      </c>
      <c r="D1675" s="208"/>
      <c r="E1675" s="209"/>
      <c r="F1675" s="217" t="str">
        <f>IF(OR(D1643="なし",D1643="受圧体のみ"),"","n=1")</f>
        <v>n=1</v>
      </c>
      <c r="G1675" s="218"/>
      <c r="H1675" s="219"/>
      <c r="I1675" s="213" t="str">
        <f>IF(OR(D1639=0,D1640="　",B1675=""),"","台")</f>
        <v>台</v>
      </c>
      <c r="J1675" s="220" t="str">
        <f>IF(OR(D1639=0,D1640="　"),"",MID(F1675,3,2))</f>
        <v>1</v>
      </c>
      <c r="K1675" s="214">
        <f>IFERROR(D1639*J1675,"")</f>
        <v>10</v>
      </c>
    </row>
    <row r="1676" spans="2:11" ht="12" customHeight="1">
      <c r="B1676" s="206" t="str">
        <f>IF(OR(D1639=0,D1640="　",MID(D1643,1,3)&lt;&gt;"のり面"),"","補剛板")</f>
        <v>補剛板</v>
      </c>
      <c r="C1676" s="210" t="str" cm="1">
        <f t="array" ref="C1676">IF(OR(D1639=0,D1640="　",MID(D1643,1,3)&lt;&gt;"のり面"),"",IF(MID(D1640,4,1)="5","□"&amp;_xlfn.SWITCH(1*MID(LEFT(D1640, LEN(D1640)-1),6,2),1,"210φ131t12",2,"210φ131t12",3,"240φ131t12",4,"270φ131t12",5,"280φ143t12",6,"310φ143t16",7,"350φ143t19",8,"350φ180t19",9,"350φ180t19",10,"350φ180t19",11,"350φ180t22",12,"350φ180t22"),"□"&amp;_xlfn.SWITCH(1*MID(LEFT(D1640, LEN(D1640)-1),6,2),1,"210,φ131,t12",2,"240,φ131,t12",3,"270,φ131,t16",4,"300,φ143,t16",5,"350,φ180,t16",6,"350,φ180,t16",7,"350,φ180,t19",8,"400,φ──,t12",9,"400,φ──,t12",10,"400,φ──,t12",11,"400,φ──,t12",12,"400,φ──,t12",13,"400,φ──,t12",14,"400,φ──,t12"))&amp;"、SS400相当、防食："&amp;_xlfn.IFS(MID(D1641,1,3)="防食Ⅱ","HDZT77めっき",MID(D1641,5,2)="塩害","ｱﾙﾐﾅｲｽﾞ処理",MID(D1641,5,2)="酸性","重防食処理"))</f>
        <v>□270φ131t12、SS400相当、防食：HDZT77めっき</v>
      </c>
      <c r="D1676" s="208"/>
      <c r="E1676" s="209"/>
      <c r="F1676" s="217" t="str">
        <f>IF(OR(D1639=0,D1640="　",MID(D1643,1,3)&lt;&gt;"のり面"),"","n=1")</f>
        <v>n=1</v>
      </c>
      <c r="G1676" s="218"/>
      <c r="H1676" s="219"/>
      <c r="I1676" s="213" t="str">
        <f>IF(OR(D1639=0,D1640="　",B1676="",MID(D1643,1,3)&lt;&gt;"のり面"),"","枚")</f>
        <v>枚</v>
      </c>
      <c r="J1676" s="220" t="str">
        <f>IF(OR(D1639=0,D1640="　"),"",MID(F1676,3,2))</f>
        <v>1</v>
      </c>
      <c r="K1676" s="214">
        <f>IFERROR(D1639*J1676,"")</f>
        <v>10</v>
      </c>
    </row>
    <row r="1677" spans="2:11" ht="12" customHeight="1">
      <c r="B1677" s="206" t="str" cm="1">
        <f t="array" ref="B1677">_xlfn.IFS(OR(D1639=0,D1640="　"),"",MID(D1642,1,3)="アルミ","",MID(D1642,1,3)&lt;&gt;"アルミ","テンドン補修用塗料")</f>
        <v>テンドン補修用塗料</v>
      </c>
      <c r="C1677" s="210" t="str" cm="1">
        <f t="array" ref="C1677">_xlfn.IFS(OR(D1639=0,D1640="　"),"",MID(D1642,1,3)="アルミ","",MID(D1642,1,3)&lt;&gt;"アルミ","エポキシ樹脂")</f>
        <v>エポキシ樹脂</v>
      </c>
      <c r="D1677" s="208"/>
      <c r="E1677" s="209"/>
      <c r="F1677" s="217" t="str" cm="1">
        <f t="array" ref="F1677">_xlfn.IFS(OR(D1639=0,D1640="　"),"",MID(D1642,1,3)="アルミ","",MID(D1642,1,3)&lt;&gt;"アルミ","W=PC鋼より線本数×"&amp;IF(MID(D1640,4,1)="5","0.28","0.40"))</f>
        <v>W=PC鋼より線本数×0.28</v>
      </c>
      <c r="G1677" s="218"/>
      <c r="H1677" s="219"/>
      <c r="I1677" s="213" t="str" cm="1">
        <f t="array" ref="I1677">_xlfn.IFS(OR(D1639=0,D1640="　"),"",MID(D1642,1,3)="アルミ","",MID(D1642,1,3)&lt;&gt;"アルミ","g")</f>
        <v>g</v>
      </c>
      <c r="J1677" s="224" cm="1">
        <f t="array" ref="J1677">_xlfn.IFS(OR(D1639=0,D1640="　"),"",MID(D1642,1,3)="アルミ","",MID(D1642,1,3)&lt;&gt;"アルミ",MID(LEFT(D1640, LEN(D1640)-1),6,2)*IF(MID(D1640,4,1)="5",0.28,0.4))</f>
        <v>1.1200000000000001</v>
      </c>
      <c r="K1677" s="214">
        <f>IFERROR(D1639*J1677,"")</f>
        <v>11.200000000000001</v>
      </c>
    </row>
    <row r="1678" spans="2:11" ht="12" customHeight="1">
      <c r="B1678" s="206" t="str" cm="1">
        <f t="array" ref="B1678">_xlfn.IFS(OR(D1639=0,D1640="　"),"",MID(D1642,1,3)="アルミ","",MID(D1642,1,3)&lt;&gt;"アルミ","長期防錆スプレー")</f>
        <v>長期防錆スプレー</v>
      </c>
      <c r="C1678" s="210" t="str" cm="1">
        <f t="array" ref="C1678">_xlfn.IFS(OR(D1639=0,D1640="　"),"",MID(D1642,1,3)="アルミ","",MID(D1642,1,3)&lt;&gt;"アルミ","防錆オイル")</f>
        <v>防錆オイル</v>
      </c>
      <c r="D1678" s="208"/>
      <c r="E1678" s="209"/>
      <c r="F1678" s="217" t="str" cm="1">
        <f t="array" ref="F1678">_xlfn.IFS(OR(D1639=0,D1640="　"),"",MID(D1642,1,3)="アルミ","",MID(D1642,1,3)&lt;&gt;"アルミ","n=0.01×(PC鋼より線本数+"&amp;IF(MID(D1640,4,1)="5","6","12")&amp;")")</f>
        <v>n=0.01×(PC鋼より線本数+6)</v>
      </c>
      <c r="G1678" s="218"/>
      <c r="H1678" s="219"/>
      <c r="I1678" s="213" t="str" cm="1">
        <f t="array" ref="I1678">_xlfn.IFS(OR(D1639=0,D1640="　"),"",MID(D1642,1,3)="アルミ","",MID(D1642,1,3)&lt;&gt;"アルミ","缶")</f>
        <v>缶</v>
      </c>
      <c r="J1678" s="224" cm="1">
        <f t="array" ref="J1678">_xlfn.IFS(OR(D1639=0,D1640="　"),"",MID(D1642,1,3)="アルミ","",MID(D1642,1,3)&lt;&gt;"アルミ",0.01*(MID(LEFT(D1640, LEN(D1640)-1),6,2)+IF(MID(D1640,4,1)="5",6,12)))</f>
        <v>0.1</v>
      </c>
      <c r="K1678" s="214">
        <f>IFERROR(D1639*J1678,"")</f>
        <v>1</v>
      </c>
    </row>
    <row r="1679" spans="2:11" ht="12" customHeight="1">
      <c r="B1679" s="206" t="str">
        <f>IF(OR(D1639=0,D1640="　",D1645="なし"),"","フリーパッカー注入ホース")</f>
        <v/>
      </c>
      <c r="C1679" s="207" t="str">
        <f>IF(OR(D1639=0,D1640="　",B1679=""),"","16/20、高密度ポリエチレン")</f>
        <v/>
      </c>
      <c r="D1679" s="208"/>
      <c r="E1679" s="209"/>
      <c r="F1679" s="210" t="str">
        <f>IF(B1679="","","L=自由長+緊張部長")</f>
        <v/>
      </c>
      <c r="G1679" s="211"/>
      <c r="H1679" s="212"/>
      <c r="I1679" s="213" t="str">
        <f>IF(OR(D1639=0,D1640="　",B1679=""),"","m")</f>
        <v/>
      </c>
      <c r="J1679" s="214" t="str">
        <f>IF(OR(D1639=0,D1640="　"),"",IF(B1679="","",MROUND(D1649+D1650,0.1)))</f>
        <v/>
      </c>
      <c r="K1679" s="214" t="str">
        <f>IFERROR(D1639*J1679,"")</f>
        <v/>
      </c>
    </row>
    <row r="1680" spans="2:11" ht="12" customHeight="1">
      <c r="B1680" s="225" t="str">
        <f>IF(OR(D1639=0,D1640="　",D1645="なし"),"","フリーパッカー")</f>
        <v/>
      </c>
      <c r="C1680" s="217" t="str" cm="1">
        <f t="array" ref="C1680">IF(OR(D1639=0,D1640="　",B1679=""),"",_xlfn.SWITCH(D1654,90,"PA-170",115,"PA-200",135,"PA-240",146,"PA-240",165,"PA-350")&amp;"、織布")</f>
        <v/>
      </c>
      <c r="D1680" s="208"/>
      <c r="E1680" s="209"/>
      <c r="F1680" s="226" t="str">
        <f>IF(B1680="","","L=自由長+0.5m")</f>
        <v/>
      </c>
      <c r="G1680" s="227"/>
      <c r="H1680" s="228"/>
      <c r="I1680" s="213" t="str">
        <f>IF(OR(D1640=0,D1641="　",B1680=""),"","m")</f>
        <v/>
      </c>
      <c r="J1680" s="214" t="str">
        <f>IF(OR(D1639=0,D1640="　"),"",IF(B1680="","",MROUND(D1649+0.5,0.1)))</f>
        <v/>
      </c>
      <c r="K1680" s="214" t="str">
        <f>IFERROR(D1639*J1680,"")</f>
        <v/>
      </c>
    </row>
    <row r="1681" spans="2:11" ht="12" customHeight="1">
      <c r="B1681" s="206" t="str">
        <f>IF(OR(D1639=0,D1640="　",D1645="なし"),"","パッカー取付加工")</f>
        <v/>
      </c>
      <c r="C1681" s="207"/>
      <c r="D1681" s="208"/>
      <c r="E1681" s="209"/>
      <c r="F1681" s="217" t="str">
        <f>IF(B1681="","","n=1")</f>
        <v/>
      </c>
      <c r="G1681" s="218"/>
      <c r="H1681" s="219"/>
      <c r="I1681" s="213" t="str">
        <f>IF(OR(D1641=0,D1642="　",B1681=""),"","式")</f>
        <v/>
      </c>
      <c r="J1681" s="220" t="str">
        <f>IF(OR(D1639=0,D1640="　"),"",MID(F1681,3,2))</f>
        <v/>
      </c>
      <c r="K1681" s="206" t="str">
        <f>IFERROR(D1639*J1681,"")</f>
        <v/>
      </c>
    </row>
    <row r="1682" spans="2:11" ht="12" customHeight="1">
      <c r="B1682" s="229"/>
      <c r="C1682" s="230"/>
      <c r="D1682" s="231"/>
      <c r="E1682" s="232"/>
      <c r="F1682" s="233"/>
      <c r="G1682" s="234"/>
      <c r="H1682" s="235"/>
      <c r="I1682" s="236"/>
      <c r="J1682" s="237"/>
      <c r="K1682" s="229"/>
    </row>
    <row r="1683" spans="2:11" ht="12" customHeight="1">
      <c r="B1683" s="238" t="s">
        <v>30</v>
      </c>
      <c r="C1683" s="239" t="s">
        <v>31</v>
      </c>
      <c r="D1683" s="240"/>
      <c r="E1683" s="241"/>
      <c r="F1683" s="242" t="s">
        <v>157</v>
      </c>
      <c r="G1683" s="243"/>
      <c r="H1683" s="244"/>
      <c r="I1683" s="245" t="s">
        <v>55</v>
      </c>
      <c r="J1683" s="246">
        <f>IFERROR(MROUND(0.25*PI()*(0.001*D1654)^2*(D1647+D1648+D1653)*(1+2.2),0.01),"")</f>
        <v>0.17</v>
      </c>
      <c r="K1683" s="246">
        <f>IFERROR(D1639*J1683,"")</f>
        <v>1.7000000000000002</v>
      </c>
    </row>
    <row r="1685" spans="2:11" ht="12" customHeight="1">
      <c r="B1685" s="247" t="s">
        <v>136</v>
      </c>
      <c r="C1685" s="247"/>
      <c r="D1685" s="247"/>
      <c r="F1685" s="163"/>
      <c r="G1685" s="164"/>
      <c r="H1685" s="164"/>
    </row>
    <row r="1686" spans="2:11" ht="12" customHeight="1">
      <c r="B1686" s="15" t="s">
        <v>111</v>
      </c>
      <c r="C1686" s="15"/>
      <c r="D1686" s="1"/>
      <c r="E1686" s="1"/>
      <c r="H1686" s="119"/>
      <c r="J1686" s="118"/>
    </row>
    <row r="1687" spans="2:11" ht="12" customHeight="1">
      <c r="B1687" s="165" t="s">
        <v>166</v>
      </c>
      <c r="C1687" s="3"/>
      <c r="D1687" s="1"/>
      <c r="E1687" s="1"/>
      <c r="F1687" s="8"/>
      <c r="G1687" s="8"/>
      <c r="H1687" s="102"/>
      <c r="I1687" s="28"/>
      <c r="J1687" s="118"/>
    </row>
    <row r="1688" spans="2:11" ht="12" customHeight="1">
      <c r="B1688" s="15" t="s">
        <v>40</v>
      </c>
      <c r="C1688" s="3"/>
      <c r="D1688" s="1"/>
      <c r="E1688" s="1"/>
      <c r="F1688" s="15" t="s">
        <v>54</v>
      </c>
      <c r="G1688" s="15"/>
      <c r="H1688" s="102"/>
      <c r="I1688" s="28"/>
    </row>
    <row r="1689" spans="2:11" ht="12" customHeight="1">
      <c r="B1689" s="2" t="s">
        <v>53</v>
      </c>
      <c r="C1689" s="2" t="s">
        <v>21</v>
      </c>
      <c r="D1689" s="2" t="s">
        <v>22</v>
      </c>
      <c r="E1689" s="17"/>
      <c r="F1689" s="49" t="s">
        <v>41</v>
      </c>
      <c r="G1689" s="97" t="s">
        <v>59</v>
      </c>
      <c r="H1689" s="49" t="s">
        <v>44</v>
      </c>
      <c r="I1689" s="2" t="s">
        <v>21</v>
      </c>
      <c r="J1689" s="49" t="s">
        <v>138</v>
      </c>
      <c r="K1689" s="2" t="s">
        <v>28</v>
      </c>
    </row>
    <row r="1690" spans="2:11" ht="12" customHeight="1">
      <c r="B1690" s="166" t="s">
        <v>25</v>
      </c>
      <c r="C1690" s="18" t="s">
        <v>24</v>
      </c>
      <c r="D1690" s="167">
        <v>10</v>
      </c>
      <c r="E1690" s="19"/>
      <c r="F1690" s="168" t="s">
        <v>43</v>
      </c>
      <c r="G1690" s="169" t="s">
        <v>113</v>
      </c>
      <c r="H1690" s="88" t="str" cm="1">
        <f t="array" ref="H1690">_xlfn.IFS(AND(F1690&lt;&gt;"非削孔",F1690&lt;&gt;"無設定"),D1705,F1690="非削孔",IF(MID(D1694,1,3)="土留め","非削孔","箱抜き"),F1690="無設定","無設定")</f>
        <v>箱抜き</v>
      </c>
      <c r="I1690" s="23" t="str">
        <f>IF(F1690="無設定","","m")</f>
        <v>m</v>
      </c>
      <c r="J1690" s="170">
        <v>0.5</v>
      </c>
      <c r="K1690" s="30">
        <f>D1690*J1690</f>
        <v>5</v>
      </c>
    </row>
    <row r="1691" spans="2:11" ht="12" customHeight="1">
      <c r="B1691" s="171" t="s">
        <v>37</v>
      </c>
      <c r="C1691" s="50" t="s">
        <v>38</v>
      </c>
      <c r="D1691" s="172" t="s">
        <v>159</v>
      </c>
      <c r="E1691" s="173"/>
      <c r="F1691" s="174" t="s">
        <v>49</v>
      </c>
      <c r="G1691" s="169" t="s">
        <v>114</v>
      </c>
      <c r="H1691" s="88" cm="1">
        <f t="array" ref="H1691">_xlfn.IFS(AND(F1691&lt;&gt;"非削孔",F1691&lt;&gt;"無設定"),D1705,F1691="非削孔","箱抜き",F1691="無設定","無設定")</f>
        <v>90</v>
      </c>
      <c r="I1691" s="23" t="str">
        <f t="shared" ref="I1691:I1699" si="66">IF(F1691="無設定","","m")</f>
        <v>m</v>
      </c>
      <c r="J1691" s="170">
        <v>2.64</v>
      </c>
      <c r="K1691" s="30">
        <f>D1690*J1691</f>
        <v>26.400000000000002</v>
      </c>
    </row>
    <row r="1692" spans="2:11" ht="12" customHeight="1">
      <c r="B1692" s="52" t="s">
        <v>39</v>
      </c>
      <c r="C1692" s="91" t="s">
        <v>38</v>
      </c>
      <c r="D1692" s="175" t="s">
        <v>60</v>
      </c>
      <c r="E1692" s="140"/>
      <c r="F1692" s="174" t="s">
        <v>49</v>
      </c>
      <c r="G1692" s="169" t="s">
        <v>115</v>
      </c>
      <c r="H1692" s="88" cm="1">
        <f t="array" ref="H1692">_xlfn.IFS(AND(F1692&lt;&gt;"非削孔",F1692&lt;&gt;"無設定"),D1705,F1692="非削孔","箱抜き",F1692="無設定","無設定")</f>
        <v>90</v>
      </c>
      <c r="I1692" s="23" t="str">
        <f t="shared" si="66"/>
        <v>m</v>
      </c>
      <c r="J1692" s="170">
        <v>5.36</v>
      </c>
      <c r="K1692" s="30">
        <f>D1690*J1692</f>
        <v>53.6</v>
      </c>
    </row>
    <row r="1693" spans="2:11" ht="12" customHeight="1">
      <c r="B1693" s="147" t="s">
        <v>140</v>
      </c>
      <c r="C1693" s="91" t="s">
        <v>38</v>
      </c>
      <c r="D1693" s="176" t="s">
        <v>141</v>
      </c>
      <c r="E1693" s="141"/>
      <c r="F1693" s="174" t="s">
        <v>48</v>
      </c>
      <c r="G1693" s="169"/>
      <c r="H1693" s="88" t="str" cm="1">
        <f t="array" ref="H1693">_xlfn.IFS(AND(F1693&lt;&gt;"非削孔",F1693&lt;&gt;"無設定"),D1705,F1693="非削孔","箱抜き",F1693="無設定","無設定")</f>
        <v>無設定</v>
      </c>
      <c r="I1693" s="23" t="str">
        <f t="shared" si="66"/>
        <v/>
      </c>
      <c r="J1693" s="170">
        <v>0</v>
      </c>
      <c r="K1693" s="30">
        <f>D1690*J1693</f>
        <v>0</v>
      </c>
    </row>
    <row r="1694" spans="2:11" ht="12" customHeight="1">
      <c r="B1694" s="147" t="s">
        <v>142</v>
      </c>
      <c r="C1694" s="91" t="s">
        <v>38</v>
      </c>
      <c r="D1694" s="177" t="s">
        <v>160</v>
      </c>
      <c r="E1694" s="21"/>
      <c r="F1694" s="174" t="s">
        <v>48</v>
      </c>
      <c r="G1694" s="169"/>
      <c r="H1694" s="88" t="str" cm="1">
        <f t="array" ref="H1694">_xlfn.IFS(AND(F1694&lt;&gt;"非削孔",F1694&lt;&gt;"無設定"),D1705,F1694="非削孔","箱抜き",F1694="無設定","無設定")</f>
        <v>無設定</v>
      </c>
      <c r="I1694" s="23" t="str">
        <f t="shared" si="66"/>
        <v/>
      </c>
      <c r="J1694" s="170">
        <v>0</v>
      </c>
      <c r="K1694" s="30">
        <f>D1690*J1694</f>
        <v>0</v>
      </c>
    </row>
    <row r="1695" spans="2:11" ht="12" customHeight="1">
      <c r="B1695" s="114" t="str">
        <f>IF(MID(D1694,1,3)="土留め",D1694&amp;"の種類","")</f>
        <v/>
      </c>
      <c r="C1695" s="91" t="s">
        <v>38</v>
      </c>
      <c r="D1695" s="178" t="s">
        <v>71</v>
      </c>
      <c r="E1695" s="21"/>
      <c r="F1695" s="174" t="s">
        <v>48</v>
      </c>
      <c r="G1695" s="169"/>
      <c r="H1695" s="88" t="str" cm="1">
        <f t="array" ref="H1695">_xlfn.IFS(AND(F1695&lt;&gt;"非削孔",F1695&lt;&gt;"無設定"),D1705,F1695="非削孔","箱抜き",F1695="無設定","無設定")</f>
        <v>無設定</v>
      </c>
      <c r="I1695" s="23" t="str">
        <f t="shared" si="66"/>
        <v/>
      </c>
      <c r="J1695" s="170">
        <v>0</v>
      </c>
      <c r="K1695" s="30">
        <f>D1690*J1695</f>
        <v>0</v>
      </c>
    </row>
    <row r="1696" spans="2:11" ht="12" customHeight="1">
      <c r="B1696" s="179" t="s">
        <v>50</v>
      </c>
      <c r="C1696" s="180" t="s">
        <v>38</v>
      </c>
      <c r="D1696" s="181" t="s">
        <v>51</v>
      </c>
      <c r="E1696" s="182"/>
      <c r="F1696" s="174" t="s">
        <v>48</v>
      </c>
      <c r="G1696" s="169"/>
      <c r="H1696" s="88" t="str" cm="1">
        <f t="array" ref="H1696">_xlfn.IFS(AND(F1696&lt;&gt;"非削孔",F1696&lt;&gt;"無設定"),D1705,F1696="非削孔","箱抜き",F1696="無設定","無設定")</f>
        <v>無設定</v>
      </c>
      <c r="I1696" s="23" t="str">
        <f t="shared" si="66"/>
        <v/>
      </c>
      <c r="J1696" s="170">
        <v>0</v>
      </c>
      <c r="K1696" s="30">
        <f>D1690*J1696</f>
        <v>0</v>
      </c>
    </row>
    <row r="1697" spans="2:11" ht="12" customHeight="1">
      <c r="B1697" s="160" t="str" cm="1">
        <f t="array" ref="B1697">"頭部自由長"&amp;_xlfn.IFS(MID(D1694,1,2)="なし","",MID(D1694,1,3)="受圧体","(受圧体)",MID(D1694,1,3)="のり面","(角度台座＋受圧体)",MID(D1694,1,3)="構造物","(壁面台座)",MID(D1694,1,3)="土留め","(台座+腹起し)")&amp;"　Lfh"</f>
        <v>頭部自由長(角度台座＋受圧体)　Lfh</v>
      </c>
      <c r="C1697" s="155" t="s">
        <v>23</v>
      </c>
      <c r="D1697" s="183">
        <v>0.5</v>
      </c>
      <c r="E1697" s="21"/>
      <c r="F1697" s="174" t="s">
        <v>144</v>
      </c>
      <c r="G1697" s="169"/>
      <c r="H1697" s="88" cm="1">
        <f t="array" ref="H1697">_xlfn.IFS(AND(F1697&lt;&gt;"非削孔",F1697&lt;&gt;"無設定"),D1705,F1697="非削孔","箱抜き",F1697="無設定","無設定")</f>
        <v>90</v>
      </c>
      <c r="I1697" s="23" t="str">
        <f t="shared" si="66"/>
        <v>m</v>
      </c>
      <c r="J1697" s="170">
        <v>0</v>
      </c>
      <c r="K1697" s="30">
        <f>D1690*J1697</f>
        <v>0</v>
      </c>
    </row>
    <row r="1698" spans="2:11" ht="12" customHeight="1">
      <c r="B1698" s="22" t="s">
        <v>108</v>
      </c>
      <c r="C1698" s="23" t="s">
        <v>23</v>
      </c>
      <c r="D1698" s="184">
        <v>4</v>
      </c>
      <c r="E1698" s="21"/>
      <c r="F1698" s="174" t="s">
        <v>48</v>
      </c>
      <c r="G1698" s="169"/>
      <c r="H1698" s="88" t="str" cm="1">
        <f t="array" ref="H1698">_xlfn.IFS(AND(F1698&lt;&gt;"非削孔",F1698&lt;&gt;"無設定"),D1705,F1698="非削孔","箱抜き",F1698="無設定","無設定")</f>
        <v>無設定</v>
      </c>
      <c r="I1698" s="23" t="str">
        <f t="shared" si="66"/>
        <v/>
      </c>
      <c r="J1698" s="170">
        <v>0</v>
      </c>
      <c r="K1698" s="30">
        <f>D1690*J1698</f>
        <v>0</v>
      </c>
    </row>
    <row r="1699" spans="2:11" ht="12" customHeight="1">
      <c r="B1699" s="157" t="s">
        <v>36</v>
      </c>
      <c r="C1699" s="158" t="s">
        <v>23</v>
      </c>
      <c r="D1699" s="185">
        <v>4</v>
      </c>
      <c r="F1699" s="186" t="str" cm="1">
        <f t="array" ref="F1699">INDEX(F1690:H1698,MATCH("無設定",F1690:F1698,0)-1,MATCH(F1689,F1689:H1689,0))</f>
        <v>軟　岩</v>
      </c>
      <c r="G1699" s="100" t="str" cm="1">
        <f t="array" ref="G1699">INDEX(F1690:H1698,MATCH("無設定",F1690:F1698,0)-1,MATCH(G1689,F1689:H1689,0))&amp;"　(先端長 L2d)"</f>
        <v>風化岩 CL　(先端長 L2d)</v>
      </c>
      <c r="H1699" s="88" cm="1">
        <f t="array" ref="H1699">INDEX(F1690:H1698,MATCH("無設定",F1690:F1698,0)-1,MATCH(H1689,F1689:H1689,0))</f>
        <v>90</v>
      </c>
      <c r="I1699" s="23" t="str">
        <f t="shared" si="66"/>
        <v>m</v>
      </c>
      <c r="J1699" s="98">
        <f>D1704</f>
        <v>0.25</v>
      </c>
      <c r="K1699" s="78">
        <f>IFERROR(D1690*J1699,"")</f>
        <v>2.5</v>
      </c>
    </row>
    <row r="1700" spans="2:11" ht="12" customHeight="1">
      <c r="B1700" s="154" t="s">
        <v>145</v>
      </c>
      <c r="C1700" s="155" t="s">
        <v>23</v>
      </c>
      <c r="D1700" s="187">
        <f>IF(OR(D1690=0,D1691="　"),"──",SUM(D1697:D1698))</f>
        <v>4.5</v>
      </c>
      <c r="E1700" s="19"/>
      <c r="F1700" s="188"/>
      <c r="G1700" s="75" t="s">
        <v>124</v>
      </c>
      <c r="H1700" s="103"/>
      <c r="I1700" s="18" t="s">
        <v>23</v>
      </c>
      <c r="J1700" s="74">
        <f>SUMIFS(J1690:J1699,F1690:F1699,"&lt;&gt;非削孔",F1690:F1699,"&lt;&gt;無設定")</f>
        <v>8.25</v>
      </c>
      <c r="K1700" s="95">
        <f>SUMIFS(K1690:K1699,F1690:F1699,"&lt;&gt;非削孔",F1690:F1699,"&lt;&gt;無設定")</f>
        <v>82.5</v>
      </c>
    </row>
    <row r="1701" spans="2:11" ht="12" customHeight="1">
      <c r="B1701" s="146" t="s">
        <v>146</v>
      </c>
      <c r="C1701" s="23" t="s">
        <v>23</v>
      </c>
      <c r="D1701" s="189" cm="1">
        <f t="array" ref="D1701">IF(OR(D1690=0,D1691="　"),"──",IF(MID(D1691,4,1)="5",_xlfn.IFS(1*MID(LEFT(D1691, LEN(D1691)-1),6,2)&lt;8,1,1*MID(LEFT(D1691, LEN(D1691)-1),6,2)&lt;13,1.2),_xlfn.IFS(1*MID(LEFT(D1691, LEN(D1691)-1),6,2)&lt;6,1,1*MID(LEFT(D1691, LEN(D1691)-1),6,2)&lt;15,1.2)))</f>
        <v>1</v>
      </c>
      <c r="E1701" s="19"/>
      <c r="F1701" s="190"/>
      <c r="G1701" s="76" t="s">
        <v>47</v>
      </c>
      <c r="H1701" s="104"/>
      <c r="I1701" s="79" t="s">
        <v>46</v>
      </c>
      <c r="J1701" s="77" t="str">
        <f>IF(OR(D1690=0,D1691="　"),"",IF(SUM(D1698:D1699,D1704)=J1700,"OK","NG"))</f>
        <v>OK</v>
      </c>
      <c r="K1701" s="145" t="str">
        <f>IF(J1701&lt;&gt;"NG","──",J1700-SUM(D1698:D1699,D1704))</f>
        <v>──</v>
      </c>
    </row>
    <row r="1702" spans="2:11" ht="12" customHeight="1">
      <c r="B1702" s="22" t="s">
        <v>125</v>
      </c>
      <c r="C1702" s="23" t="s">
        <v>35</v>
      </c>
      <c r="D1702" s="84">
        <f>IF(OR(D1690=0,D1691="　"),"──",0.2)</f>
        <v>0.2</v>
      </c>
      <c r="F1702" s="191" t="s">
        <v>58</v>
      </c>
      <c r="G1702" s="248" t="s">
        <v>110</v>
      </c>
      <c r="H1702" s="249"/>
      <c r="I1702" s="249"/>
      <c r="J1702" s="249"/>
      <c r="K1702" s="250"/>
    </row>
    <row r="1703" spans="2:11" ht="12" customHeight="1">
      <c r="B1703" s="6" t="s">
        <v>147</v>
      </c>
      <c r="C1703" s="23" t="s">
        <v>23</v>
      </c>
      <c r="D1703" s="60">
        <f>IF(OR(D1690=0,D1691="　"),"──",SUM(D1699:D1702))</f>
        <v>9.6999999999999993</v>
      </c>
    </row>
    <row r="1704" spans="2:11" ht="12" customHeight="1">
      <c r="B1704" s="25" t="s">
        <v>127</v>
      </c>
      <c r="C1704" s="26" t="s">
        <v>23</v>
      </c>
      <c r="D1704" s="27">
        <f>IF(OR(D1690=0,D1691="　"),"──",0.25)</f>
        <v>0.25</v>
      </c>
      <c r="F1704" s="8"/>
      <c r="G1704" s="8"/>
      <c r="H1704" s="102"/>
    </row>
    <row r="1705" spans="2:11" ht="12" customHeight="1">
      <c r="B1705" s="95" t="s">
        <v>123</v>
      </c>
      <c r="C1705" s="18" t="s">
        <v>32</v>
      </c>
      <c r="D1705" s="192">
        <v>90</v>
      </c>
      <c r="E1705" s="193" t="str">
        <f>IF(D1705&lt;D1706,"NG：削孔径不適合","")</f>
        <v/>
      </c>
      <c r="F1705" s="8"/>
      <c r="G1705" s="8"/>
      <c r="H1705" s="102"/>
    </row>
    <row r="1706" spans="2:11" ht="12" customHeight="1">
      <c r="B1706" s="25" t="s">
        <v>122</v>
      </c>
      <c r="C1706" s="26" t="s">
        <v>32</v>
      </c>
      <c r="D1706" s="194" cm="1">
        <f t="array" ref="D1706">IF(OR(D1690=0,D1691="　"),"──",IF(D1696="なし",IF(MID(D1691,4,1)="5",_xlfn.IFS(1*MID(LEFT(D1691, LEN(D1691)-1),6,2)&lt;6,90,1*MID(LEFT(D1691, LEN(D1691)-1),6,2)&lt;9,115,1*MID(LEFT(D1691, LEN(D1691)-1),6,2)&gt;8,135),_xlfn.IFS(1*MID(LEFT(D1691, LEN(D1691)-1),6,2)&lt;4,90,1*MID(LEFT(D1691, LEN(D1691)-1),6,2)&lt;7,115,1*MID(LEFT(D1691, LEN(D1691)-1),6,2)&lt;10,135,1*MID(LEFT(D1691, LEN(D1691)-1),6,2)&lt;13,146,1*MID(LEFT(D1691, LEN(D1691)-1),6,2)&gt;12,165)),IF(MID(D1691,4,1)="5",_xlfn.IFS(1*MID(LEFT(D1691, LEN(D1691)-1),6,2)&lt;3,90,1*MID(LEFT(D1691, LEN(D1691)-1),6,2)&lt;7,115,1*MID(LEFT(D1691, LEN(D1691)-1),6,2)&lt;9,135,1*MID(LEFT(D1691, LEN(D1691)-1),6,2)&gt;8,146),_xlfn.IFS(1*MID(LEFT(D1691, LEN(D1691)-1),6,2)&lt;3,90,1*MID(LEFT(D1691, LEN(D1691)-1),6,2)&lt;4,115,1*MID(LEFT(D1691, LEN(D1691)-1),6,2)&lt;6,135,1*MID(LEFT(D1691, LEN(D1691)-1),6,2)&lt;10,146,1*MID(LEFT(D1691, LEN(D1691)-1),6,2)&lt;13,165,1*MID(LEFT(D1691, LEN(D1691)-1),6,2)&gt;12,216))))</f>
        <v>90</v>
      </c>
      <c r="E1706" s="195"/>
      <c r="F1706" s="8"/>
      <c r="G1706" s="8"/>
      <c r="H1706" s="102"/>
    </row>
    <row r="1707" spans="2:11" ht="12" customHeight="1">
      <c r="B1707" s="20"/>
      <c r="C1707" s="46"/>
      <c r="D1707" s="117"/>
      <c r="F1707" s="8"/>
      <c r="G1707" s="8"/>
      <c r="H1707" s="102"/>
    </row>
    <row r="1708" spans="2:11" ht="12" customHeight="1">
      <c r="B1708" s="15" t="str">
        <f>"■"&amp;MID(B1685,2,14)</f>
        <v>■本設：EHDアンカーHP工法</v>
      </c>
      <c r="C1708" s="3"/>
      <c r="D1708" s="1"/>
      <c r="E1708" s="1"/>
      <c r="F1708" s="8"/>
      <c r="G1708" s="8"/>
      <c r="H1708" s="102"/>
    </row>
    <row r="1709" spans="2:11" ht="12" customHeight="1">
      <c r="B1709" s="2" t="s">
        <v>17</v>
      </c>
      <c r="C1709" s="43"/>
      <c r="D1709" s="196" t="s">
        <v>148</v>
      </c>
      <c r="E1709" s="135"/>
      <c r="F1709" s="16"/>
      <c r="G1709" s="61" t="s">
        <v>42</v>
      </c>
      <c r="H1709" s="97"/>
      <c r="I1709" s="2" t="s">
        <v>21</v>
      </c>
      <c r="J1709" s="49" t="s">
        <v>149</v>
      </c>
      <c r="K1709" s="2" t="s">
        <v>28</v>
      </c>
    </row>
    <row r="1710" spans="2:11" ht="12" customHeight="1">
      <c r="B1710" s="197" t="s">
        <v>150</v>
      </c>
      <c r="C1710" s="198" t="str">
        <f>IF(OR(D1690=0,D1691="　"),"",D1691&amp;" ("&amp;MID(LEFT(D1691, LEN(D1691)-1),6,2)&amp;IF(MID(D1691,4,1)="5","φ12.7","φ15.2")&amp;")")</f>
        <v>EHD5-4H (4φ12.7)</v>
      </c>
      <c r="D1710" s="199"/>
      <c r="E1710" s="200"/>
      <c r="F1710" s="201" t="str">
        <f>"W=テンドン長×PC鋼より線本数×"&amp;IF(MID(D1691,4,1)="5","0.774","1.101")&amp;"kg/m"</f>
        <v>W=テンドン長×PC鋼より線本数×0.774kg/m</v>
      </c>
      <c r="G1710" s="202"/>
      <c r="H1710" s="203"/>
      <c r="I1710" s="204" t="s">
        <v>11</v>
      </c>
      <c r="J1710" s="205">
        <f>IF(OR(D1690=0,D1691="　"),"",MROUND(D1703*MID(LEFT(D1691, LEN(D1691)-1),6,2)*IF(MID(D1691,4,1)="5","0.774","1.101"),0.01))</f>
        <v>30.03</v>
      </c>
      <c r="K1710" s="205">
        <f>IFERROR(D1690*J1710,"")</f>
        <v>300.3</v>
      </c>
    </row>
    <row r="1711" spans="2:11" ht="12" customHeight="1">
      <c r="B1711" s="206" t="s">
        <v>151</v>
      </c>
      <c r="C1711" s="207"/>
      <c r="D1711" s="208"/>
      <c r="E1711" s="209"/>
      <c r="F1711" s="210" t="s">
        <v>33</v>
      </c>
      <c r="G1711" s="211"/>
      <c r="H1711" s="212"/>
      <c r="I1711" s="213" t="s">
        <v>12</v>
      </c>
      <c r="J1711" s="214">
        <f>IF(OR(D1690=0,D1691="　"),"",MROUND(D1703,0.1))</f>
        <v>9.7000000000000011</v>
      </c>
      <c r="K1711" s="214">
        <f>IFERROR(D1690*J1711,"")</f>
        <v>97.000000000000014</v>
      </c>
    </row>
    <row r="1712" spans="2:11" ht="12" customHeight="1">
      <c r="B1712" s="206" t="str">
        <f>"頭部キャップ"</f>
        <v>頭部キャップ</v>
      </c>
      <c r="C1712" s="207" t="str" cm="1">
        <f t="array" ref="C1712">IF(OR(D1690=0,D1691="　"),"",IF(MID(D1691,4,1)="5",_xlfn.SWITCH(1*MID(LEFT(D1691, LEN(D1691)-1),6,2),1,"S",2,"S",3,"S",4,"S",5,"M",6,"M",7,"M",8,"L",9,"L",10,"L",11,"L",12,"L"),_xlfn.SWITCH(1*MID(LEFT(D1691, LEN(D1691)-1),6,2),1,"S",2,"S",3,"M",4,"M",5,"L",6,"L",7,"L",8,"LL",9,"LL",10,"LL",11,"LL",12,"LL",13,"LL",14,"LL"))&amp;"型"&amp;D1693&amp;IF(OR(MID(D1693,1,2)="透明",MID(D1693,1,2)="5窓"),"、PC樹脂","")&amp;"、ｱﾙﾐAC4C相当"&amp;_xlfn.IFS(MID(D1692,1,3)="防食Ⅱ","",MID(D1692,5,2)="塩害","、防食：ﾀｹｺｰﾄ処理",MID(D1692,5,2)="酸性","、防食：重防食処理"))</f>
        <v>S型透明キャップ、PC樹脂、ｱﾙﾐAC4C相当</v>
      </c>
      <c r="D1712" s="215"/>
      <c r="E1712" s="216"/>
      <c r="F1712" s="217" t="str">
        <f t="shared" ref="F1712:F1718" si="67">"n=1"</f>
        <v>n=1</v>
      </c>
      <c r="G1712" s="218"/>
      <c r="H1712" s="219"/>
      <c r="I1712" s="213" t="s">
        <v>13</v>
      </c>
      <c r="J1712" s="220" t="str">
        <f>IF(OR(D1690=0,D1691="　"),"",MID(F1712,3,2))</f>
        <v>1</v>
      </c>
      <c r="K1712" s="214">
        <f>IFERROR(D1690*J1712,"")</f>
        <v>10</v>
      </c>
    </row>
    <row r="1713" spans="2:11" ht="12" customHeight="1">
      <c r="B1713" s="206" t="s">
        <v>5</v>
      </c>
      <c r="C1713" s="207" t="str" cm="1">
        <f t="array" ref="C1713">IF(OR(D1690=0,D1691="　"),"",IF(MID(D1691,4,1)="5","G5"&amp;_xlfn.SWITCH(1*MID(LEFT(D1691, LEN(D1691)-1),6,2),1,"01",2,"02",3,"03",4,"04",5,"07",6,"07",7,"07",8,"09",9,"09",10,"12",11,"12",12,"12"),"G6"&amp;_xlfn.SWITCH(1*MID(LEFT(D1691, LEN(D1691)-1),6,2),1,"01",2,"02",3,"03",4,"04",5,"07",6,"07",7,"07",8,"09",9,"09",10,"12",11,"12",12,"12",13,"14",14,"14"))&amp;"、S45C相当"&amp;IF(MID(D1693,1,3)&lt;&gt;"アルミ","、防食：無電解Niめっき",""))</f>
        <v>G504、S45C相当、防食：無電解Niめっき</v>
      </c>
      <c r="D1713" s="208"/>
      <c r="E1713" s="209"/>
      <c r="F1713" s="217" t="str">
        <f t="shared" si="67"/>
        <v>n=1</v>
      </c>
      <c r="G1713" s="218"/>
      <c r="H1713" s="219"/>
      <c r="I1713" s="213" t="s">
        <v>13</v>
      </c>
      <c r="J1713" s="220" t="str">
        <f>IF(OR(D1690=0,D1691="　"),"",MID(F1713,3,2))</f>
        <v>1</v>
      </c>
      <c r="K1713" s="214">
        <f>IFERROR(D1690*J1713,"")</f>
        <v>10</v>
      </c>
    </row>
    <row r="1714" spans="2:11" ht="12" customHeight="1">
      <c r="B1714" s="206" t="s">
        <v>152</v>
      </c>
      <c r="C1714" s="207" t="str" cm="1">
        <f t="array" ref="C1714">IF(OR(D1690=0,D1691="　"),"",IF(MID(D1691,4,1)="5","G5"&amp;_xlfn.SWITCH(1*MID(LEFT(D1691, LEN(D1691)-1),6,2),1,"01",2,"02",3,"03",4,"04",5,"07",6,"07",7,"07",8,"09",9,"09",10,"12",11,"12",12,"12"),"G6"&amp;_xlfn.SWITCH(1*MID(LEFT(D1691, LEN(D1691)-1),6,2),1,"01",2,"02",3,"03",4,"04",5,"07",6,"07",7,"07",8,"09",9,"09",10,"12",11,"12",12,"12",13,"14",14,"14"))&amp;"、S45C相当"&amp;IF(MID(D1693,1,3)&lt;&gt;"アルミ","、防食：無電解Niめっき",""))</f>
        <v>G504、S45C相当、防食：無電解Niめっき</v>
      </c>
      <c r="D1714" s="208"/>
      <c r="E1714" s="209"/>
      <c r="F1714" s="217" t="str">
        <f t="shared" si="67"/>
        <v>n=1</v>
      </c>
      <c r="G1714" s="218"/>
      <c r="H1714" s="219"/>
      <c r="I1714" s="213" t="s">
        <v>13</v>
      </c>
      <c r="J1714" s="220" t="str">
        <f>IF(OR(D1690=0,D1691="　"),"",MID(F1714,3,2))</f>
        <v>1</v>
      </c>
      <c r="K1714" s="214">
        <f>IFERROR(D1690*J1714,"")</f>
        <v>10</v>
      </c>
    </row>
    <row r="1715" spans="2:11" ht="12" customHeight="1">
      <c r="B1715" s="206" t="s">
        <v>7</v>
      </c>
      <c r="C1715" s="207" t="str">
        <f>IF(OR(D1690=0,D1691="　"),"",IF(1*MID(D1691,4,1)=5,"ECF12.7","ECF15.2")&amp;"、SCM415相当"&amp;IF(MID(D1693,1,3)&lt;&gt;"アルミ","、防食：無電解Niめっき",""))</f>
        <v>ECF12.7、SCM415相当、防食：無電解Niめっき</v>
      </c>
      <c r="D1715" s="208"/>
      <c r="E1715" s="209"/>
      <c r="F1715" s="217" t="str">
        <f t="shared" si="67"/>
        <v>n=1</v>
      </c>
      <c r="G1715" s="218"/>
      <c r="H1715" s="219"/>
      <c r="I1715" s="213" t="s">
        <v>27</v>
      </c>
      <c r="J1715" s="220" t="str">
        <f>IF(OR(D1690=0,D1691="　"),"",MID(F1715,3,2))</f>
        <v>1</v>
      </c>
      <c r="K1715" s="214">
        <f>IFERROR(D1690*J1715,"")</f>
        <v>10</v>
      </c>
    </row>
    <row r="1716" spans="2:11" ht="12" customHeight="1">
      <c r="B1716" s="206" t="s">
        <v>153</v>
      </c>
      <c r="C1716" s="207" t="str" cm="1">
        <f t="array" ref="C1716">IF(OR(D1690=0,D1691="　"),"",IF(MID(D1691,4,1)="5","G5"&amp;_xlfn.SWITCH(1*MID(LEFT(D1691, LEN(D1691)-1),6,2),1,"01",2,"04",3,"03",4,"04",5,"07",6,"07",7,"07",8,"12",9,"12",10,"12",11,"12",12,"12"),"G6"&amp;_xlfn.SWITCH(1*MID(LEFT(D1691, LEN(D1691)-1),6,2),1,"01",2,"02",3,"03",4,"04",5,"07",6,"07",7,"07",8,"12",9,"12",10,"12",11,"12",12,"12",13,"14",14,"14"))&amp;"、SS400相当、防食："&amp;_xlfn.IFS(MID(D1692,1,3)="防食Ⅱ","HDZT77めっき",MID(D1692,5,2)="塩害","ｱﾙﾐﾅｲｽﾞ処理",MID(D1692,5,2)="酸性","重防食処理"))</f>
        <v>G504、SS400相当、防食：HDZT77めっき</v>
      </c>
      <c r="D1716" s="208"/>
      <c r="E1716" s="209"/>
      <c r="F1716" s="217" t="str">
        <f t="shared" si="67"/>
        <v>n=1</v>
      </c>
      <c r="G1716" s="218"/>
      <c r="H1716" s="219"/>
      <c r="I1716" s="213" t="s">
        <v>16</v>
      </c>
      <c r="J1716" s="220" t="str">
        <f>IF(OR(D1690=0,D1691="　"),"",MID(F1716,3,2))</f>
        <v>1</v>
      </c>
      <c r="K1716" s="214">
        <f>IFERROR(D1690*J1716,"")</f>
        <v>10</v>
      </c>
    </row>
    <row r="1717" spans="2:11" ht="12" customHeight="1">
      <c r="B1717" s="206" t="str">
        <f>IF(MID(D1694,1,3)="のり面","管付","")&amp;"支圧板"</f>
        <v>管付支圧板</v>
      </c>
      <c r="C1717" s="221" t="str" cm="1">
        <f t="array" ref="C1717">IF(OR(D1690=0,D1691="　"),"","PL"&amp;IF(MID(D1694,1,3)="のり面","P","")&amp;IF(MID(D1691,4,1)="5","5-"&amp;_xlfn.SWITCH(1*MID(LEFT(D1691, LEN(D1691)-1),6,2),1,"1",2,"2",3,"3",4,"4",5,"5",6,"6",7,"7",8,"9",9,"9",10,"10",11,"11",12,"12"),"6-"&amp;_xlfn.SWITCH(1*MID(LEFT(D1691, LEN(D1691)-1),6,2),1,"1",2,"2",3,"3",4,"4",5,"6",6,"6",7,"7",8,"8",9,"9",10,"10",11,"11",12,"12",13,"14",14,"14"))&amp;"、SS400相当、防食："&amp;_xlfn.IFS(MID(D1692,1,3)="防食Ⅱ","HDZT77めっき",MID(D1692,5,2)="塩害","ｱﾙﾐﾅｲｽﾞ処理",MID(D1692,5,2)="酸性","重防食処理"))</f>
        <v>PLP5-4、SS400相当、防食：HDZT77めっき</v>
      </c>
      <c r="D1717" s="208"/>
      <c r="E1717" s="209"/>
      <c r="F1717" s="217" t="str">
        <f t="shared" si="67"/>
        <v>n=1</v>
      </c>
      <c r="G1717" s="218"/>
      <c r="H1717" s="219"/>
      <c r="I1717" s="213" t="s">
        <v>16</v>
      </c>
      <c r="J1717" s="220" t="str">
        <f>IF(OR(D1690=0,D1691="　"),"",MID(F1717,3,2))</f>
        <v>1</v>
      </c>
      <c r="K1717" s="214">
        <f>IFERROR(D1690*J1717,"")</f>
        <v>10</v>
      </c>
    </row>
    <row r="1718" spans="2:11" ht="12" customHeight="1">
      <c r="B1718" s="206" t="s">
        <v>154</v>
      </c>
      <c r="C1718" s="207" t="str">
        <f>IF(OR(D1690=0,D1691="　"),"","G"&amp;MID(LEFT(D1691, LEN(D1691)-1),4,4)&amp;"、NBR45相当")</f>
        <v>G5-4、NBR45相当</v>
      </c>
      <c r="D1718" s="208"/>
      <c r="E1718" s="209"/>
      <c r="F1718" s="217" t="str">
        <f t="shared" si="67"/>
        <v>n=1</v>
      </c>
      <c r="G1718" s="218"/>
      <c r="H1718" s="219"/>
      <c r="I1718" s="213" t="s">
        <v>13</v>
      </c>
      <c r="J1718" s="220" t="str">
        <f>IF(OR(D1690=0,D1691="　"),"",MID(F1718,3,2))</f>
        <v>1</v>
      </c>
      <c r="K1718" s="214">
        <f>IFERROR(D1690*J1718,"")</f>
        <v>10</v>
      </c>
    </row>
    <row r="1719" spans="2:11" ht="12" customHeight="1">
      <c r="B1719" s="206" t="str" cm="1">
        <f t="array" ref="B1719">_xlfn.IFS(OR(D1690=0,D1691="　"),"",MID(D1693,1,3)="アルミ","頭部防錆油",MID(D1693,1,3)&lt;&gt;"アルミ","余長キャップ")</f>
        <v>余長キャップ</v>
      </c>
      <c r="C1719" s="221" t="str" cm="1">
        <f t="array" ref="C1719">_xlfn.IFS(OR(D1690=0,D1691="　"),"",MID(D1693,1,3)="アルミ","PCコートC",MID(D1693,1,3)&lt;&gt;"アルミ","TC"&amp;MID(D1691,4,1)&amp;"、高密度ポチエチレン")</f>
        <v>TC5、高密度ポチエチレン</v>
      </c>
      <c r="D1719" s="208"/>
      <c r="E1719" s="209"/>
      <c r="F1719" s="217" t="str" cm="1">
        <f t="array" ref="F1719">_xlfn.IFS(OR(D1690=0,D1691="　"),"",MID(D1693,1,3)="アルミ","W="&amp;IF(MID(D1691,4,1)="5",_xlfn.SWITCH(1*MID(LEFT(D1691, LEN(D1691)-1),6,2),1,1.9,2,1.3,3,1.3,4,1.3,5,1.6,6,1.6,7,1.6,8,3.1,9,3.1,10,3.1,11,3.1,12,3.1),"G6"&amp;_xlfn.SWITCH(1*MID(LEFT(D1691, LEN(D1691)-1),6,2),1,1.8,2,1.3,3,1.8,4,1.8,5,3.3,6,3.3,7,3.3,8,9.9,9,9.9,10,9.9,11,9.9,12,9.9,13,9.9,14,9.9)),MID(D1693,1,3)&lt;&gt;"アルミ","n=1")</f>
        <v>n=1</v>
      </c>
      <c r="G1719" s="218"/>
      <c r="H1719" s="219"/>
      <c r="I1719" s="213" t="str" cm="1">
        <f t="array" ref="I1719">_xlfn.IFS(OR(D1690=0,D1691="　"),"",MID(D1693,1,3)="アルミ","kg",MID(D1693,1,3)&lt;&gt;"アルミ","式")</f>
        <v>式</v>
      </c>
      <c r="J1719" s="220" t="str">
        <f>IF(OR(D1690=0,D1691="　"),"",MID(F1719,3,4))</f>
        <v>1</v>
      </c>
      <c r="K1719" s="214">
        <f>IFERROR(D1690*J1719,"")</f>
        <v>10</v>
      </c>
    </row>
    <row r="1720" spans="2:11" ht="12" customHeight="1">
      <c r="B1720" s="206" t="s">
        <v>9</v>
      </c>
      <c r="C1720" s="207" t="str" cm="1">
        <f t="array" ref="C1720">IF(OR(D1690=0,D1691="　"),"",IF(MID(D1691,4,1)="5","PS5-"&amp;_xlfn.SWITCH(1*MID(LEFT(D1691, LEN(D1691)-1),6,2),1,"7",2,"2",3,"3",4,"4",5,"7",6,"7",7,"7",8,"12",9,"12",10,"12",11,"12",12,"12"),"PS6-"&amp;_xlfn.SWITCH(1*MID(LEFT(D1691, LEN(D1691)-1),6,2),1,"7",2,"2",3,"3",4,"4",5,"7",6,"7",7,"7",8,"12",9,"12",10,"12",11,"12",12,"12",13,"14",14,"14"))&amp;"、高密度ポリエチレン")</f>
        <v>PS5-4、高密度ポリエチレン</v>
      </c>
      <c r="D1720" s="208"/>
      <c r="E1720" s="209"/>
      <c r="F1720" s="217" t="str">
        <f>"n=2"</f>
        <v>n=2</v>
      </c>
      <c r="G1720" s="218"/>
      <c r="H1720" s="219"/>
      <c r="I1720" s="213" t="s">
        <v>13</v>
      </c>
      <c r="J1720" s="220" t="str">
        <f>IF(OR(D1690=0,D1691="　"),"",MID(F1720,3,2))</f>
        <v>2</v>
      </c>
      <c r="K1720" s="214">
        <f>IFERROR(D1690*J1720,"")</f>
        <v>20</v>
      </c>
    </row>
    <row r="1721" spans="2:11" ht="12" customHeight="1">
      <c r="B1721" s="206" t="s">
        <v>2</v>
      </c>
      <c r="C1721" s="207" t="str" cm="1">
        <f t="array" ref="C1721">IF(OR(D1690=0,D1691="　"),"",IF(MID(D1691,4,1)="5","S5-"&amp;_xlfn.IFS(1*MID(LEFT(D1691, LEN(D1691)-1),6,2)&lt;6,"5",1*MID(LEFT(D1691, LEN(D1691)-1),6,2)&lt;9,"8",1*MID(LEFT(D1691, LEN(D1691)-1),6,2)&gt;8,"12"),"S6-"&amp;_xlfn.IFS(1*MID(LEFT(D1691, LEN(D1691)-1),6,2)&lt;4,"3",1*MID(LEFT(D1691, LEN(D1691)-1),6,2)&lt;7,"6",1*MID(LEFT(D1691, LEN(D1691)-1),6,2)&lt;10,"9",1*MID(LEFT(D1691, LEN(D1691)-1),6,2)&lt;13,"12",1*MID(LEFT(D1691, LEN(D1691)-1),6,2)&gt;12,"14"))&amp;"、ポリプロピレン")</f>
        <v>S5-5、ポリプロピレン</v>
      </c>
      <c r="D1721" s="208"/>
      <c r="E1721" s="209"/>
      <c r="F1721" s="222" t="s">
        <v>155</v>
      </c>
      <c r="G1721" s="211"/>
      <c r="H1721" s="212"/>
      <c r="I1721" s="213" t="s">
        <v>13</v>
      </c>
      <c r="J1721" s="206">
        <f>IF(OR(D1690=0,D1691="　"),"",MROUND((D1699-0.4)/1,1))</f>
        <v>4</v>
      </c>
      <c r="K1721" s="214">
        <f>IFERROR(D1690*J1721,"")</f>
        <v>40</v>
      </c>
    </row>
    <row r="1722" spans="2:11" ht="12" customHeight="1">
      <c r="B1722" s="206" t="s">
        <v>1</v>
      </c>
      <c r="C1722" s="207" t="str" cm="1">
        <f t="array" ref="C1722">IF(OR(D1690=0,D1691="　"),"",IF(MID(D1691,4,1)="5","PC5-"&amp;_xlfn.IFS(1*MID(LEFT(D1691, LEN(D1691)-1),6,2)&lt;5,"4",1*MID(LEFT(D1691, LEN(D1691)-1),6,2)&lt;8,"7",1*MID(LEFT(D1691, LEN(D1691)-1),6,2)&lt;10,"9",1*MID(LEFT(D1691, LEN(D1691)-1),6,2)&gt;9,"12"),"PC6-"&amp;_xlfn.IFS(1*MID(LEFT(D1691, LEN(D1691)-1),6,2)&lt;4,"3",1*MID(LEFT(D1691, LEN(D1691)-1),6,2)&lt;8,"7",1*MID(LEFT(D1691, LEN(D1691)-1),6,2)&lt;13,"12",1*MID(LEFT(D1691, LEN(D1691)-1),6,2)&gt;12,"14"))&amp;"、ポリプロピレン")</f>
        <v>PC5-4、ポリプロピレン</v>
      </c>
      <c r="D1722" s="208"/>
      <c r="E1722" s="209"/>
      <c r="F1722" s="217" t="str">
        <f>"n=1"</f>
        <v>n=1</v>
      </c>
      <c r="G1722" s="218"/>
      <c r="H1722" s="219"/>
      <c r="I1722" s="213" t="s">
        <v>13</v>
      </c>
      <c r="J1722" s="220" t="str">
        <f>IF(OR(D1690=0,D1691="　"),"",MID(F1722,3,2))</f>
        <v>1</v>
      </c>
      <c r="K1722" s="214">
        <f>IFERROR(D1690*J1722,"")</f>
        <v>10</v>
      </c>
    </row>
    <row r="1723" spans="2:11" ht="12" customHeight="1">
      <c r="B1723" s="206" t="s">
        <v>3</v>
      </c>
      <c r="C1723" s="207" t="str">
        <f>IF(OR(D1690=0,D1691="　"),"","66ナイロン")</f>
        <v>66ナイロン</v>
      </c>
      <c r="D1723" s="208"/>
      <c r="E1723" s="209"/>
      <c r="F1723" s="222" t="s">
        <v>156</v>
      </c>
      <c r="G1723" s="211"/>
      <c r="H1723" s="212"/>
      <c r="I1723" s="213" t="s">
        <v>14</v>
      </c>
      <c r="J1723" s="206">
        <f>IF(OR(D1690=0,D1691="　"),"",2*J1721)</f>
        <v>8</v>
      </c>
      <c r="K1723" s="214">
        <f>IFERROR(D1690*J1723,"")</f>
        <v>80</v>
      </c>
    </row>
    <row r="1724" spans="2:11" ht="12" customHeight="1">
      <c r="B1724" s="206" t="s">
        <v>4</v>
      </c>
      <c r="C1724" s="207" t="str">
        <f>IF(OR(D1690=0,D1691="　"),"","フィラメントテープ")</f>
        <v>フィラメントテープ</v>
      </c>
      <c r="D1724" s="208"/>
      <c r="E1724" s="209"/>
      <c r="F1724" s="222" t="str">
        <f>IF(OR(D1690=0,D1691="　"),"","L=((自由長+緊張部長)÷@1.0m)×テープ係数"&amp;IF(MID(D1691,4,1)="5",_xlfn.IFS(1*MID(LEFT(D1691, LEN(D1691)-1),6,2)&lt;4,"0.8",1*MID(LEFT(D1691, LEN(D1691)-1),6,2)&lt;7,"1.0",1*MID(LEFT(D1691, LEN(D1691)-1),6,2)&lt;10,"1.2",1*MID(LEFT(D1691, LEN(D1691)-1),6,2)&lt;13,"1.4"),_xlfn.IFS(1*MID(LEFT(D1691, LEN(D1691)-1),6,2)&lt;4,"1.0",1*MID(LEFT(D1691, LEN(D1691)-1),6,2)&lt;7,"1.2",1*MID(LEFT(D1691, LEN(D1691)-1),6,2)&lt;10,"1.4",1*MID(LEFT(D1691, LEN(D1691)-1),6,2)&lt;15,"1.8")))</f>
        <v>L=((自由長+緊張部長)÷@1.0m)×テープ係数1.0</v>
      </c>
      <c r="G1724" s="211"/>
      <c r="H1724" s="212"/>
      <c r="I1724" s="213" t="s">
        <v>12</v>
      </c>
      <c r="J1724" s="223">
        <f>IF(OR(D1690=0,D1691="　"),"",MROUND((SUM(D1700,D1701))/1*RIGHT(F1724, 3),0.1))</f>
        <v>5.5</v>
      </c>
      <c r="K1724" s="214">
        <f>IFERROR(D1690*J1724,"")</f>
        <v>55</v>
      </c>
    </row>
    <row r="1725" spans="2:11" ht="12" customHeight="1">
      <c r="B1725" s="206" t="s">
        <v>0</v>
      </c>
      <c r="C1725" s="207" t="str">
        <f>IF(OR(D1690=0,D1691="　"),"","16/20、高密度ポリエチレン")</f>
        <v>16/20、高密度ポリエチレン</v>
      </c>
      <c r="D1725" s="208"/>
      <c r="E1725" s="209"/>
      <c r="F1725" s="210" t="s">
        <v>33</v>
      </c>
      <c r="G1725" s="211"/>
      <c r="H1725" s="212"/>
      <c r="I1725" s="213" t="s">
        <v>12</v>
      </c>
      <c r="J1725" s="214">
        <f>IF(OR(D1690=0,D1691="　"),"",MROUND(D1703,0.1))</f>
        <v>9.7000000000000011</v>
      </c>
      <c r="K1725" s="214">
        <f>IFERROR(D1690*J1725,"")</f>
        <v>97.000000000000014</v>
      </c>
    </row>
    <row r="1726" spans="2:11" ht="12" customHeight="1">
      <c r="B1726" s="206" t="str" cm="1">
        <f t="array" ref="B1726">_xlfn.IFS(OR(D1690=0,D1691="　",MID(D1694,1,2)="なし",MID(D1694,1,3)="受圧体"),"",MID(D1694,1,3)="のり面","のり面角度台座",MID(D1694,1,3)="構造物","構造物壁面台座",MID(D1694,1,3)="土留め","土留め台座")</f>
        <v>のり面角度台座</v>
      </c>
      <c r="C1726" s="210" t="str" cm="1">
        <f t="array" ref="C1726">IF(OR(D1690=0,D1691="　",MID(D1694,1,2)="なし",MID(D1694,1,3)="受圧体"),"",_xlfn.IFS(MID(D1694,1,3)="のり面",IF(1*MID(D1691,4,1)=5,_xlfn.IFS(1*MID(LEFT(D1691, LEN(D1691)-1),6,2)&lt;5,"ST140",1*MID(LEFT(D1691, LEN(D1691)-1),6,2)&lt;8,"ST170",1*MID(LEFT(D1691, LEN(D1691)-1),6,2)&lt;13,"ST220"),_xlfn.IFS(1*MID(LEFT(D1691, LEN(D1691)-1),6,2)&lt;4,"ST140",1*MID(LEFT(D1691, LEN(D1691)-1),6,2)&lt;5,"ST170",1*MID(LEFT(D1691, LEN(D1691)-1),6,2)&lt;8,"ST220",1*MID(LEFT(D1691, LEN(D1691)-1),6,2)&lt;15,"非該当"))&amp;"、FCD450相当、防食："&amp;_xlfn.IFS(MID(D1692,1,3)="防食Ⅱ","HDZT77めっき",MID(D1692,5,2)="塩害","ｱﾙﾐﾅｲｽﾞ処理",MID(D1692,5,2)="酸性","重防食処理"),OR(MID(D1694,1,3)="構造物",MID(D1694,1,3)="土留め"),D1691&amp;"用"&amp;IF(OR(MID(D1694,1,3)="構造物",D1695="　"),"",D1695)&amp;"、防食："&amp;_xlfn.IFS(MID(D1692,1,3)="防食Ⅱ","HDZT77めっき",MID(D1692,5,2)="塩害","ｱﾙﾐﾅｲｽﾞ処理",MID(D1692,5,2)="酸性","重防食処理")))</f>
        <v>ST140、FCD450相当、防食：HDZT77めっき</v>
      </c>
      <c r="D1726" s="208"/>
      <c r="E1726" s="209"/>
      <c r="F1726" s="217" t="str">
        <f>IF(OR(D1694="なし",D1694="受圧体のみ"),"","n=1")</f>
        <v>n=1</v>
      </c>
      <c r="G1726" s="218"/>
      <c r="H1726" s="219"/>
      <c r="I1726" s="213" t="str">
        <f>IF(OR(D1690=0,D1691="　",B1726=""),"","台")</f>
        <v>台</v>
      </c>
      <c r="J1726" s="220" t="str">
        <f>IF(OR(D1690=0,D1691="　"),"",MID(F1726,3,2))</f>
        <v>1</v>
      </c>
      <c r="K1726" s="214">
        <f>IFERROR(D1690*J1726,"")</f>
        <v>10</v>
      </c>
    </row>
    <row r="1727" spans="2:11" ht="12" customHeight="1">
      <c r="B1727" s="206" t="str">
        <f>IF(OR(D1690=0,D1691="　",MID(D1694,1,3)&lt;&gt;"のり面"),"","補剛板")</f>
        <v>補剛板</v>
      </c>
      <c r="C1727" s="210" t="str" cm="1">
        <f t="array" ref="C1727">IF(OR(D1690=0,D1691="　",MID(D1694,1,3)&lt;&gt;"のり面"),"",IF(MID(D1691,4,1)="5","□"&amp;_xlfn.SWITCH(1*MID(LEFT(D1691, LEN(D1691)-1),6,2),1,"210φ131t12",2,"210φ131t12",3,"240φ131t12",4,"270φ131t12",5,"280φ143t12",6,"310φ143t16",7,"350φ143t19",8,"350φ180t19",9,"350φ180t19",10,"350φ180t19",11,"350φ180t22",12,"350φ180t22"),"□"&amp;_xlfn.SWITCH(1*MID(LEFT(D1691, LEN(D1691)-1),6,2),1,"210,φ131,t12",2,"240,φ131,t12",3,"270,φ131,t16",4,"300,φ143,t16",5,"350,φ180,t16",6,"350,φ180,t16",7,"350,φ180,t19",8,"400,φ──,t12",9,"400,φ──,t12",10,"400,φ──,t12",11,"400,φ──,t12",12,"400,φ──,t12",13,"400,φ──,t12",14,"400,φ──,t12"))&amp;"、SS400相当、防食："&amp;_xlfn.IFS(MID(D1692,1,3)="防食Ⅱ","HDZT77めっき",MID(D1692,5,2)="塩害","ｱﾙﾐﾅｲｽﾞ処理",MID(D1692,5,2)="酸性","重防食処理"))</f>
        <v>□270φ131t12、SS400相当、防食：HDZT77めっき</v>
      </c>
      <c r="D1727" s="208"/>
      <c r="E1727" s="209"/>
      <c r="F1727" s="217" t="str">
        <f>IF(OR(D1690=0,D1691="　",MID(D1694,1,3)&lt;&gt;"のり面"),"","n=1")</f>
        <v>n=1</v>
      </c>
      <c r="G1727" s="218"/>
      <c r="H1727" s="219"/>
      <c r="I1727" s="213" t="str">
        <f>IF(OR(D1690=0,D1691="　",B1727="",MID(D1694,1,3)&lt;&gt;"のり面"),"","枚")</f>
        <v>枚</v>
      </c>
      <c r="J1727" s="220" t="str">
        <f>IF(OR(D1690=0,D1691="　"),"",MID(F1727,3,2))</f>
        <v>1</v>
      </c>
      <c r="K1727" s="214">
        <f>IFERROR(D1690*J1727,"")</f>
        <v>10</v>
      </c>
    </row>
    <row r="1728" spans="2:11" ht="12" customHeight="1">
      <c r="B1728" s="206" t="str" cm="1">
        <f t="array" ref="B1728">_xlfn.IFS(OR(D1690=0,D1691="　"),"",MID(D1693,1,3)="アルミ","",MID(D1693,1,3)&lt;&gt;"アルミ","テンドン補修用塗料")</f>
        <v>テンドン補修用塗料</v>
      </c>
      <c r="C1728" s="210" t="str" cm="1">
        <f t="array" ref="C1728">_xlfn.IFS(OR(D1690=0,D1691="　"),"",MID(D1693,1,3)="アルミ","",MID(D1693,1,3)&lt;&gt;"アルミ","エポキシ樹脂")</f>
        <v>エポキシ樹脂</v>
      </c>
      <c r="D1728" s="208"/>
      <c r="E1728" s="209"/>
      <c r="F1728" s="217" t="str" cm="1">
        <f t="array" ref="F1728">_xlfn.IFS(OR(D1690=0,D1691="　"),"",MID(D1693,1,3)="アルミ","",MID(D1693,1,3)&lt;&gt;"アルミ","W=PC鋼より線本数×"&amp;IF(MID(D1691,4,1)="5","0.28","0.40"))</f>
        <v>W=PC鋼より線本数×0.28</v>
      </c>
      <c r="G1728" s="218"/>
      <c r="H1728" s="219"/>
      <c r="I1728" s="213" t="str" cm="1">
        <f t="array" ref="I1728">_xlfn.IFS(OR(D1690=0,D1691="　"),"",MID(D1693,1,3)="アルミ","",MID(D1693,1,3)&lt;&gt;"アルミ","g")</f>
        <v>g</v>
      </c>
      <c r="J1728" s="224" cm="1">
        <f t="array" ref="J1728">_xlfn.IFS(OR(D1690=0,D1691="　"),"",MID(D1693,1,3)="アルミ","",MID(D1693,1,3)&lt;&gt;"アルミ",MID(LEFT(D1691, LEN(D1691)-1),6,2)*IF(MID(D1691,4,1)="5",0.28,0.4))</f>
        <v>1.1200000000000001</v>
      </c>
      <c r="K1728" s="214">
        <f>IFERROR(D1690*J1728,"")</f>
        <v>11.200000000000001</v>
      </c>
    </row>
    <row r="1729" spans="2:11" ht="12" customHeight="1">
      <c r="B1729" s="206" t="str" cm="1">
        <f t="array" ref="B1729">_xlfn.IFS(OR(D1690=0,D1691="　"),"",MID(D1693,1,3)="アルミ","",MID(D1693,1,3)&lt;&gt;"アルミ","長期防錆スプレー")</f>
        <v>長期防錆スプレー</v>
      </c>
      <c r="C1729" s="210" t="str" cm="1">
        <f t="array" ref="C1729">_xlfn.IFS(OR(D1690=0,D1691="　"),"",MID(D1693,1,3)="アルミ","",MID(D1693,1,3)&lt;&gt;"アルミ","防錆オイル")</f>
        <v>防錆オイル</v>
      </c>
      <c r="D1729" s="208"/>
      <c r="E1729" s="209"/>
      <c r="F1729" s="217" t="str" cm="1">
        <f t="array" ref="F1729">_xlfn.IFS(OR(D1690=0,D1691="　"),"",MID(D1693,1,3)="アルミ","",MID(D1693,1,3)&lt;&gt;"アルミ","n=0.01×(PC鋼より線本数+"&amp;IF(MID(D1691,4,1)="5","6","12")&amp;")")</f>
        <v>n=0.01×(PC鋼より線本数+6)</v>
      </c>
      <c r="G1729" s="218"/>
      <c r="H1729" s="219"/>
      <c r="I1729" s="213" t="str" cm="1">
        <f t="array" ref="I1729">_xlfn.IFS(OR(D1690=0,D1691="　"),"",MID(D1693,1,3)="アルミ","",MID(D1693,1,3)&lt;&gt;"アルミ","缶")</f>
        <v>缶</v>
      </c>
      <c r="J1729" s="224" cm="1">
        <f t="array" ref="J1729">_xlfn.IFS(OR(D1690=0,D1691="　"),"",MID(D1693,1,3)="アルミ","",MID(D1693,1,3)&lt;&gt;"アルミ",0.01*(MID(LEFT(D1691, LEN(D1691)-1),6,2)+IF(MID(D1691,4,1)="5",6,12)))</f>
        <v>0.1</v>
      </c>
      <c r="K1729" s="214">
        <f>IFERROR(D1690*J1729,"")</f>
        <v>1</v>
      </c>
    </row>
    <row r="1730" spans="2:11" ht="12" customHeight="1">
      <c r="B1730" s="206" t="str">
        <f>IF(OR(D1690=0,D1691="　",D1696="なし"),"","フリーパッカー注入ホース")</f>
        <v/>
      </c>
      <c r="C1730" s="207" t="str">
        <f>IF(OR(D1690=0,D1691="　",B1730=""),"","16/20、高密度ポリエチレン")</f>
        <v/>
      </c>
      <c r="D1730" s="208"/>
      <c r="E1730" s="209"/>
      <c r="F1730" s="210" t="str">
        <f>IF(B1730="","","L=自由長+緊張部長")</f>
        <v/>
      </c>
      <c r="G1730" s="211"/>
      <c r="H1730" s="212"/>
      <c r="I1730" s="213" t="str">
        <f>IF(OR(D1690=0,D1691="　",B1730=""),"","m")</f>
        <v/>
      </c>
      <c r="J1730" s="214" t="str">
        <f>IF(OR(D1690=0,D1691="　"),"",IF(B1730="","",MROUND(D1700+D1701,0.1)))</f>
        <v/>
      </c>
      <c r="K1730" s="214" t="str">
        <f>IFERROR(D1690*J1730,"")</f>
        <v/>
      </c>
    </row>
    <row r="1731" spans="2:11" ht="12" customHeight="1">
      <c r="B1731" s="225" t="str">
        <f>IF(OR(D1690=0,D1691="　",D1696="なし"),"","フリーパッカー")</f>
        <v/>
      </c>
      <c r="C1731" s="217" t="str" cm="1">
        <f t="array" ref="C1731">IF(OR(D1690=0,D1691="　",B1730=""),"",_xlfn.SWITCH(D1705,90,"PA-170",115,"PA-200",135,"PA-240",146,"PA-240",165,"PA-350")&amp;"、織布")</f>
        <v/>
      </c>
      <c r="D1731" s="208"/>
      <c r="E1731" s="209"/>
      <c r="F1731" s="226" t="str">
        <f>IF(B1731="","","L=自由長+0.5m")</f>
        <v/>
      </c>
      <c r="G1731" s="227"/>
      <c r="H1731" s="228"/>
      <c r="I1731" s="213" t="str">
        <f>IF(OR(D1691=0,D1692="　",B1731=""),"","m")</f>
        <v/>
      </c>
      <c r="J1731" s="214" t="str">
        <f>IF(OR(D1690=0,D1691="　"),"",IF(B1731="","",MROUND(D1700+0.5,0.1)))</f>
        <v/>
      </c>
      <c r="K1731" s="214" t="str">
        <f>IFERROR(D1690*J1731,"")</f>
        <v/>
      </c>
    </row>
    <row r="1732" spans="2:11" ht="12" customHeight="1">
      <c r="B1732" s="206" t="str">
        <f>IF(OR(D1690=0,D1691="　",D1696="なし"),"","パッカー取付加工")</f>
        <v/>
      </c>
      <c r="C1732" s="207"/>
      <c r="D1732" s="208"/>
      <c r="E1732" s="209"/>
      <c r="F1732" s="217" t="str">
        <f>IF(B1732="","","n=1")</f>
        <v/>
      </c>
      <c r="G1732" s="218"/>
      <c r="H1732" s="219"/>
      <c r="I1732" s="213" t="str">
        <f>IF(OR(D1692=0,D1693="　",B1732=""),"","式")</f>
        <v/>
      </c>
      <c r="J1732" s="220" t="str">
        <f>IF(OR(D1690=0,D1691="　"),"",MID(F1732,3,2))</f>
        <v/>
      </c>
      <c r="K1732" s="206" t="str">
        <f>IFERROR(D1690*J1732,"")</f>
        <v/>
      </c>
    </row>
    <row r="1733" spans="2:11" ht="12" customHeight="1">
      <c r="B1733" s="229"/>
      <c r="C1733" s="230"/>
      <c r="D1733" s="231"/>
      <c r="E1733" s="232"/>
      <c r="F1733" s="233"/>
      <c r="G1733" s="234"/>
      <c r="H1733" s="235"/>
      <c r="I1733" s="236"/>
      <c r="J1733" s="237"/>
      <c r="K1733" s="229"/>
    </row>
    <row r="1734" spans="2:11" ht="12" customHeight="1">
      <c r="B1734" s="238" t="s">
        <v>30</v>
      </c>
      <c r="C1734" s="239" t="s">
        <v>31</v>
      </c>
      <c r="D1734" s="240"/>
      <c r="E1734" s="241"/>
      <c r="F1734" s="242" t="s">
        <v>157</v>
      </c>
      <c r="G1734" s="243"/>
      <c r="H1734" s="244"/>
      <c r="I1734" s="245" t="s">
        <v>55</v>
      </c>
      <c r="J1734" s="246">
        <f>IFERROR(MROUND(0.25*PI()*(0.001*D1705)^2*(D1698+D1699+D1704)*(1+2.2),0.01),"")</f>
        <v>0.17</v>
      </c>
      <c r="K1734" s="246">
        <f>IFERROR(D1690*J1734,"")</f>
        <v>1.7000000000000002</v>
      </c>
    </row>
    <row r="1736" spans="2:11" ht="12" customHeight="1">
      <c r="B1736" s="247" t="s">
        <v>136</v>
      </c>
      <c r="C1736" s="247"/>
      <c r="D1736" s="247"/>
      <c r="F1736" s="163"/>
      <c r="G1736" s="164"/>
      <c r="H1736" s="164"/>
    </row>
    <row r="1737" spans="2:11" ht="12" customHeight="1">
      <c r="B1737" s="15" t="s">
        <v>111</v>
      </c>
      <c r="C1737" s="15"/>
      <c r="D1737" s="1"/>
      <c r="E1737" s="1"/>
      <c r="H1737" s="119"/>
      <c r="J1737" s="118"/>
    </row>
    <row r="1738" spans="2:11" ht="12" customHeight="1">
      <c r="B1738" s="165" t="s">
        <v>166</v>
      </c>
      <c r="C1738" s="3"/>
      <c r="D1738" s="1"/>
      <c r="E1738" s="1"/>
      <c r="F1738" s="8"/>
      <c r="G1738" s="8"/>
      <c r="H1738" s="102"/>
      <c r="I1738" s="28"/>
      <c r="J1738" s="118"/>
    </row>
    <row r="1739" spans="2:11" ht="12" customHeight="1">
      <c r="B1739" s="15" t="s">
        <v>40</v>
      </c>
      <c r="C1739" s="3"/>
      <c r="D1739" s="1"/>
      <c r="E1739" s="1"/>
      <c r="F1739" s="15" t="s">
        <v>54</v>
      </c>
      <c r="G1739" s="15"/>
      <c r="H1739" s="102"/>
      <c r="I1739" s="28"/>
    </row>
    <row r="1740" spans="2:11" ht="12" customHeight="1">
      <c r="B1740" s="2" t="s">
        <v>53</v>
      </c>
      <c r="C1740" s="2" t="s">
        <v>21</v>
      </c>
      <c r="D1740" s="2" t="s">
        <v>22</v>
      </c>
      <c r="E1740" s="17"/>
      <c r="F1740" s="49" t="s">
        <v>41</v>
      </c>
      <c r="G1740" s="97" t="s">
        <v>59</v>
      </c>
      <c r="H1740" s="49" t="s">
        <v>44</v>
      </c>
      <c r="I1740" s="2" t="s">
        <v>21</v>
      </c>
      <c r="J1740" s="49" t="s">
        <v>138</v>
      </c>
      <c r="K1740" s="2" t="s">
        <v>28</v>
      </c>
    </row>
    <row r="1741" spans="2:11" ht="12" customHeight="1">
      <c r="B1741" s="166" t="s">
        <v>25</v>
      </c>
      <c r="C1741" s="18" t="s">
        <v>24</v>
      </c>
      <c r="D1741" s="167">
        <v>10</v>
      </c>
      <c r="E1741" s="19"/>
      <c r="F1741" s="168" t="s">
        <v>43</v>
      </c>
      <c r="G1741" s="169" t="s">
        <v>113</v>
      </c>
      <c r="H1741" s="88" t="str" cm="1">
        <f t="array" ref="H1741">_xlfn.IFS(AND(F1741&lt;&gt;"非削孔",F1741&lt;&gt;"無設定"),D1756,F1741="非削孔",IF(MID(D1745,1,3)="土留め","非削孔","箱抜き"),F1741="無設定","無設定")</f>
        <v>箱抜き</v>
      </c>
      <c r="I1741" s="23" t="str">
        <f>IF(F1741="無設定","","m")</f>
        <v>m</v>
      </c>
      <c r="J1741" s="170">
        <v>0.5</v>
      </c>
      <c r="K1741" s="30">
        <f>D1741*J1741</f>
        <v>5</v>
      </c>
    </row>
    <row r="1742" spans="2:11" ht="12" customHeight="1">
      <c r="B1742" s="171" t="s">
        <v>37</v>
      </c>
      <c r="C1742" s="50" t="s">
        <v>38</v>
      </c>
      <c r="D1742" s="172" t="s">
        <v>159</v>
      </c>
      <c r="E1742" s="173"/>
      <c r="F1742" s="174" t="s">
        <v>49</v>
      </c>
      <c r="G1742" s="169" t="s">
        <v>114</v>
      </c>
      <c r="H1742" s="88" cm="1">
        <f t="array" ref="H1742">_xlfn.IFS(AND(F1742&lt;&gt;"非削孔",F1742&lt;&gt;"無設定"),D1756,F1742="非削孔","箱抜き",F1742="無設定","無設定")</f>
        <v>90</v>
      </c>
      <c r="I1742" s="23" t="str">
        <f t="shared" ref="I1742:I1750" si="68">IF(F1742="無設定","","m")</f>
        <v>m</v>
      </c>
      <c r="J1742" s="170">
        <v>2.64</v>
      </c>
      <c r="K1742" s="30">
        <f>D1741*J1742</f>
        <v>26.400000000000002</v>
      </c>
    </row>
    <row r="1743" spans="2:11" ht="12" customHeight="1">
      <c r="B1743" s="52" t="s">
        <v>39</v>
      </c>
      <c r="C1743" s="91" t="s">
        <v>38</v>
      </c>
      <c r="D1743" s="175" t="s">
        <v>60</v>
      </c>
      <c r="E1743" s="140"/>
      <c r="F1743" s="174" t="s">
        <v>49</v>
      </c>
      <c r="G1743" s="169" t="s">
        <v>115</v>
      </c>
      <c r="H1743" s="88" cm="1">
        <f t="array" ref="H1743">_xlfn.IFS(AND(F1743&lt;&gt;"非削孔",F1743&lt;&gt;"無設定"),D1756,F1743="非削孔","箱抜き",F1743="無設定","無設定")</f>
        <v>90</v>
      </c>
      <c r="I1743" s="23" t="str">
        <f t="shared" si="68"/>
        <v>m</v>
      </c>
      <c r="J1743" s="170">
        <v>5.36</v>
      </c>
      <c r="K1743" s="30">
        <f>D1741*J1743</f>
        <v>53.6</v>
      </c>
    </row>
    <row r="1744" spans="2:11" ht="12" customHeight="1">
      <c r="B1744" s="147" t="s">
        <v>140</v>
      </c>
      <c r="C1744" s="91" t="s">
        <v>38</v>
      </c>
      <c r="D1744" s="176" t="s">
        <v>141</v>
      </c>
      <c r="E1744" s="141"/>
      <c r="F1744" s="174" t="s">
        <v>48</v>
      </c>
      <c r="G1744" s="169"/>
      <c r="H1744" s="88" t="str" cm="1">
        <f t="array" ref="H1744">_xlfn.IFS(AND(F1744&lt;&gt;"非削孔",F1744&lt;&gt;"無設定"),D1756,F1744="非削孔","箱抜き",F1744="無設定","無設定")</f>
        <v>無設定</v>
      </c>
      <c r="I1744" s="23" t="str">
        <f t="shared" si="68"/>
        <v/>
      </c>
      <c r="J1744" s="170">
        <v>0</v>
      </c>
      <c r="K1744" s="30">
        <f>D1741*J1744</f>
        <v>0</v>
      </c>
    </row>
    <row r="1745" spans="2:11" ht="12" customHeight="1">
      <c r="B1745" s="147" t="s">
        <v>142</v>
      </c>
      <c r="C1745" s="91" t="s">
        <v>38</v>
      </c>
      <c r="D1745" s="177" t="s">
        <v>160</v>
      </c>
      <c r="E1745" s="21"/>
      <c r="F1745" s="174" t="s">
        <v>48</v>
      </c>
      <c r="G1745" s="169"/>
      <c r="H1745" s="88" t="str" cm="1">
        <f t="array" ref="H1745">_xlfn.IFS(AND(F1745&lt;&gt;"非削孔",F1745&lt;&gt;"無設定"),D1756,F1745="非削孔","箱抜き",F1745="無設定","無設定")</f>
        <v>無設定</v>
      </c>
      <c r="I1745" s="23" t="str">
        <f t="shared" si="68"/>
        <v/>
      </c>
      <c r="J1745" s="170">
        <v>0</v>
      </c>
      <c r="K1745" s="30">
        <f>D1741*J1745</f>
        <v>0</v>
      </c>
    </row>
    <row r="1746" spans="2:11" ht="12" customHeight="1">
      <c r="B1746" s="114" t="str">
        <f>IF(MID(D1745,1,3)="土留め",D1745&amp;"の種類","")</f>
        <v/>
      </c>
      <c r="C1746" s="91" t="s">
        <v>38</v>
      </c>
      <c r="D1746" s="178" t="s">
        <v>71</v>
      </c>
      <c r="E1746" s="21"/>
      <c r="F1746" s="174" t="s">
        <v>48</v>
      </c>
      <c r="G1746" s="169"/>
      <c r="H1746" s="88" t="str" cm="1">
        <f t="array" ref="H1746">_xlfn.IFS(AND(F1746&lt;&gt;"非削孔",F1746&lt;&gt;"無設定"),D1756,F1746="非削孔","箱抜き",F1746="無設定","無設定")</f>
        <v>無設定</v>
      </c>
      <c r="I1746" s="23" t="str">
        <f t="shared" si="68"/>
        <v/>
      </c>
      <c r="J1746" s="170">
        <v>0</v>
      </c>
      <c r="K1746" s="30">
        <f>D1741*J1746</f>
        <v>0</v>
      </c>
    </row>
    <row r="1747" spans="2:11" ht="12" customHeight="1">
      <c r="B1747" s="179" t="s">
        <v>50</v>
      </c>
      <c r="C1747" s="180" t="s">
        <v>38</v>
      </c>
      <c r="D1747" s="181" t="s">
        <v>51</v>
      </c>
      <c r="E1747" s="182"/>
      <c r="F1747" s="174" t="s">
        <v>48</v>
      </c>
      <c r="G1747" s="169"/>
      <c r="H1747" s="88" t="str" cm="1">
        <f t="array" ref="H1747">_xlfn.IFS(AND(F1747&lt;&gt;"非削孔",F1747&lt;&gt;"無設定"),D1756,F1747="非削孔","箱抜き",F1747="無設定","無設定")</f>
        <v>無設定</v>
      </c>
      <c r="I1747" s="23" t="str">
        <f t="shared" si="68"/>
        <v/>
      </c>
      <c r="J1747" s="170">
        <v>0</v>
      </c>
      <c r="K1747" s="30">
        <f>D1741*J1747</f>
        <v>0</v>
      </c>
    </row>
    <row r="1748" spans="2:11" ht="12" customHeight="1">
      <c r="B1748" s="160" t="str" cm="1">
        <f t="array" ref="B1748">"頭部自由長"&amp;_xlfn.IFS(MID(D1745,1,2)="なし","",MID(D1745,1,3)="受圧体","(受圧体)",MID(D1745,1,3)="のり面","(角度台座＋受圧体)",MID(D1745,1,3)="構造物","(壁面台座)",MID(D1745,1,3)="土留め","(台座+腹起し)")&amp;"　Lfh"</f>
        <v>頭部自由長(角度台座＋受圧体)　Lfh</v>
      </c>
      <c r="C1748" s="155" t="s">
        <v>23</v>
      </c>
      <c r="D1748" s="183">
        <v>0.5</v>
      </c>
      <c r="E1748" s="21"/>
      <c r="F1748" s="174" t="s">
        <v>144</v>
      </c>
      <c r="G1748" s="169"/>
      <c r="H1748" s="88" cm="1">
        <f t="array" ref="H1748">_xlfn.IFS(AND(F1748&lt;&gt;"非削孔",F1748&lt;&gt;"無設定"),D1756,F1748="非削孔","箱抜き",F1748="無設定","無設定")</f>
        <v>90</v>
      </c>
      <c r="I1748" s="23" t="str">
        <f t="shared" si="68"/>
        <v>m</v>
      </c>
      <c r="J1748" s="170">
        <v>0</v>
      </c>
      <c r="K1748" s="30">
        <f>D1741*J1748</f>
        <v>0</v>
      </c>
    </row>
    <row r="1749" spans="2:11" ht="12" customHeight="1">
      <c r="B1749" s="22" t="s">
        <v>108</v>
      </c>
      <c r="C1749" s="23" t="s">
        <v>23</v>
      </c>
      <c r="D1749" s="184">
        <v>4</v>
      </c>
      <c r="E1749" s="21"/>
      <c r="F1749" s="174" t="s">
        <v>48</v>
      </c>
      <c r="G1749" s="169"/>
      <c r="H1749" s="88" t="str" cm="1">
        <f t="array" ref="H1749">_xlfn.IFS(AND(F1749&lt;&gt;"非削孔",F1749&lt;&gt;"無設定"),D1756,F1749="非削孔","箱抜き",F1749="無設定","無設定")</f>
        <v>無設定</v>
      </c>
      <c r="I1749" s="23" t="str">
        <f t="shared" si="68"/>
        <v/>
      </c>
      <c r="J1749" s="170">
        <v>0</v>
      </c>
      <c r="K1749" s="30">
        <f>D1741*J1749</f>
        <v>0</v>
      </c>
    </row>
    <row r="1750" spans="2:11" ht="12" customHeight="1">
      <c r="B1750" s="157" t="s">
        <v>36</v>
      </c>
      <c r="C1750" s="158" t="s">
        <v>23</v>
      </c>
      <c r="D1750" s="185">
        <v>4</v>
      </c>
      <c r="F1750" s="186" t="str" cm="1">
        <f t="array" ref="F1750">INDEX(F1741:H1749,MATCH("無設定",F1741:F1749,0)-1,MATCH(F1740,F1740:H1740,0))</f>
        <v>軟　岩</v>
      </c>
      <c r="G1750" s="100" t="str" cm="1">
        <f t="array" ref="G1750">INDEX(F1741:H1749,MATCH("無設定",F1741:F1749,0)-1,MATCH(G1740,F1740:H1740,0))&amp;"　(先端長 L2d)"</f>
        <v>風化岩 CL　(先端長 L2d)</v>
      </c>
      <c r="H1750" s="88" cm="1">
        <f t="array" ref="H1750">INDEX(F1741:H1749,MATCH("無設定",F1741:F1749,0)-1,MATCH(H1740,F1740:H1740,0))</f>
        <v>90</v>
      </c>
      <c r="I1750" s="23" t="str">
        <f t="shared" si="68"/>
        <v>m</v>
      </c>
      <c r="J1750" s="98">
        <f>D1755</f>
        <v>0.25</v>
      </c>
      <c r="K1750" s="78">
        <f>IFERROR(D1741*J1750,"")</f>
        <v>2.5</v>
      </c>
    </row>
    <row r="1751" spans="2:11" ht="12" customHeight="1">
      <c r="B1751" s="154" t="s">
        <v>145</v>
      </c>
      <c r="C1751" s="155" t="s">
        <v>23</v>
      </c>
      <c r="D1751" s="187">
        <f>IF(OR(D1741=0,D1742="　"),"──",SUM(D1748:D1749))</f>
        <v>4.5</v>
      </c>
      <c r="E1751" s="19"/>
      <c r="F1751" s="188"/>
      <c r="G1751" s="75" t="s">
        <v>124</v>
      </c>
      <c r="H1751" s="103"/>
      <c r="I1751" s="18" t="s">
        <v>23</v>
      </c>
      <c r="J1751" s="74">
        <f>SUMIFS(J1741:J1750,F1741:F1750,"&lt;&gt;非削孔",F1741:F1750,"&lt;&gt;無設定")</f>
        <v>8.25</v>
      </c>
      <c r="K1751" s="95">
        <f>SUMIFS(K1741:K1750,F1741:F1750,"&lt;&gt;非削孔",F1741:F1750,"&lt;&gt;無設定")</f>
        <v>82.5</v>
      </c>
    </row>
    <row r="1752" spans="2:11" ht="12" customHeight="1">
      <c r="B1752" s="146" t="s">
        <v>146</v>
      </c>
      <c r="C1752" s="23" t="s">
        <v>23</v>
      </c>
      <c r="D1752" s="189" cm="1">
        <f t="array" ref="D1752">IF(OR(D1741=0,D1742="　"),"──",IF(MID(D1742,4,1)="5",_xlfn.IFS(1*MID(LEFT(D1742, LEN(D1742)-1),6,2)&lt;8,1,1*MID(LEFT(D1742, LEN(D1742)-1),6,2)&lt;13,1.2),_xlfn.IFS(1*MID(LEFT(D1742, LEN(D1742)-1),6,2)&lt;6,1,1*MID(LEFT(D1742, LEN(D1742)-1),6,2)&lt;15,1.2)))</f>
        <v>1</v>
      </c>
      <c r="E1752" s="19"/>
      <c r="F1752" s="190"/>
      <c r="G1752" s="76" t="s">
        <v>47</v>
      </c>
      <c r="H1752" s="104"/>
      <c r="I1752" s="79" t="s">
        <v>46</v>
      </c>
      <c r="J1752" s="77" t="str">
        <f>IF(OR(D1741=0,D1742="　"),"",IF(SUM(D1749:D1750,D1755)=J1751,"OK","NG"))</f>
        <v>OK</v>
      </c>
      <c r="K1752" s="145" t="str">
        <f>IF(J1752&lt;&gt;"NG","──",J1751-SUM(D1749:D1750,D1755))</f>
        <v>──</v>
      </c>
    </row>
    <row r="1753" spans="2:11" ht="12" customHeight="1">
      <c r="B1753" s="22" t="s">
        <v>125</v>
      </c>
      <c r="C1753" s="23" t="s">
        <v>35</v>
      </c>
      <c r="D1753" s="84">
        <f>IF(OR(D1741=0,D1742="　"),"──",0.2)</f>
        <v>0.2</v>
      </c>
      <c r="F1753" s="191" t="s">
        <v>58</v>
      </c>
      <c r="G1753" s="248" t="s">
        <v>110</v>
      </c>
      <c r="H1753" s="249"/>
      <c r="I1753" s="249"/>
      <c r="J1753" s="249"/>
      <c r="K1753" s="250"/>
    </row>
    <row r="1754" spans="2:11" ht="12" customHeight="1">
      <c r="B1754" s="6" t="s">
        <v>147</v>
      </c>
      <c r="C1754" s="23" t="s">
        <v>23</v>
      </c>
      <c r="D1754" s="60">
        <f>IF(OR(D1741=0,D1742="　"),"──",SUM(D1750:D1753))</f>
        <v>9.6999999999999993</v>
      </c>
    </row>
    <row r="1755" spans="2:11" ht="12" customHeight="1">
      <c r="B1755" s="25" t="s">
        <v>127</v>
      </c>
      <c r="C1755" s="26" t="s">
        <v>23</v>
      </c>
      <c r="D1755" s="27">
        <f>IF(OR(D1741=0,D1742="　"),"──",0.25)</f>
        <v>0.25</v>
      </c>
      <c r="F1755" s="8"/>
      <c r="G1755" s="8"/>
      <c r="H1755" s="102"/>
    </row>
    <row r="1756" spans="2:11" ht="12" customHeight="1">
      <c r="B1756" s="95" t="s">
        <v>123</v>
      </c>
      <c r="C1756" s="18" t="s">
        <v>32</v>
      </c>
      <c r="D1756" s="192">
        <v>90</v>
      </c>
      <c r="E1756" s="193" t="str">
        <f>IF(D1756&lt;D1757,"NG：削孔径不適合","")</f>
        <v/>
      </c>
      <c r="F1756" s="8"/>
      <c r="G1756" s="8"/>
      <c r="H1756" s="102"/>
    </row>
    <row r="1757" spans="2:11" ht="12" customHeight="1">
      <c r="B1757" s="25" t="s">
        <v>122</v>
      </c>
      <c r="C1757" s="26" t="s">
        <v>32</v>
      </c>
      <c r="D1757" s="194" cm="1">
        <f t="array" ref="D1757">IF(OR(D1741=0,D1742="　"),"──",IF(D1747="なし",IF(MID(D1742,4,1)="5",_xlfn.IFS(1*MID(LEFT(D1742, LEN(D1742)-1),6,2)&lt;6,90,1*MID(LEFT(D1742, LEN(D1742)-1),6,2)&lt;9,115,1*MID(LEFT(D1742, LEN(D1742)-1),6,2)&gt;8,135),_xlfn.IFS(1*MID(LEFT(D1742, LEN(D1742)-1),6,2)&lt;4,90,1*MID(LEFT(D1742, LEN(D1742)-1),6,2)&lt;7,115,1*MID(LEFT(D1742, LEN(D1742)-1),6,2)&lt;10,135,1*MID(LEFT(D1742, LEN(D1742)-1),6,2)&lt;13,146,1*MID(LEFT(D1742, LEN(D1742)-1),6,2)&gt;12,165)),IF(MID(D1742,4,1)="5",_xlfn.IFS(1*MID(LEFT(D1742, LEN(D1742)-1),6,2)&lt;3,90,1*MID(LEFT(D1742, LEN(D1742)-1),6,2)&lt;7,115,1*MID(LEFT(D1742, LEN(D1742)-1),6,2)&lt;9,135,1*MID(LEFT(D1742, LEN(D1742)-1),6,2)&gt;8,146),_xlfn.IFS(1*MID(LEFT(D1742, LEN(D1742)-1),6,2)&lt;3,90,1*MID(LEFT(D1742, LEN(D1742)-1),6,2)&lt;4,115,1*MID(LEFT(D1742, LEN(D1742)-1),6,2)&lt;6,135,1*MID(LEFT(D1742, LEN(D1742)-1),6,2)&lt;10,146,1*MID(LEFT(D1742, LEN(D1742)-1),6,2)&lt;13,165,1*MID(LEFT(D1742, LEN(D1742)-1),6,2)&gt;12,216))))</f>
        <v>90</v>
      </c>
      <c r="E1757" s="195"/>
      <c r="F1757" s="8"/>
      <c r="G1757" s="8"/>
      <c r="H1757" s="102"/>
    </row>
    <row r="1758" spans="2:11" ht="12" customHeight="1">
      <c r="B1758" s="20"/>
      <c r="C1758" s="46"/>
      <c r="D1758" s="117"/>
      <c r="F1758" s="8"/>
      <c r="G1758" s="8"/>
      <c r="H1758" s="102"/>
    </row>
    <row r="1759" spans="2:11" ht="12" customHeight="1">
      <c r="B1759" s="15" t="str">
        <f>"■"&amp;MID(B1736,2,14)</f>
        <v>■本設：EHDアンカーHP工法</v>
      </c>
      <c r="C1759" s="3"/>
      <c r="D1759" s="1"/>
      <c r="E1759" s="1"/>
      <c r="F1759" s="8"/>
      <c r="G1759" s="8"/>
      <c r="H1759" s="102"/>
    </row>
    <row r="1760" spans="2:11" ht="12" customHeight="1">
      <c r="B1760" s="2" t="s">
        <v>17</v>
      </c>
      <c r="C1760" s="43"/>
      <c r="D1760" s="196" t="s">
        <v>148</v>
      </c>
      <c r="E1760" s="135"/>
      <c r="F1760" s="16"/>
      <c r="G1760" s="61" t="s">
        <v>42</v>
      </c>
      <c r="H1760" s="97"/>
      <c r="I1760" s="2" t="s">
        <v>21</v>
      </c>
      <c r="J1760" s="49" t="s">
        <v>149</v>
      </c>
      <c r="K1760" s="2" t="s">
        <v>28</v>
      </c>
    </row>
    <row r="1761" spans="2:11" ht="12" customHeight="1">
      <c r="B1761" s="197" t="s">
        <v>150</v>
      </c>
      <c r="C1761" s="198" t="str">
        <f>IF(OR(D1741=0,D1742="　"),"",D1742&amp;" ("&amp;MID(LEFT(D1742, LEN(D1742)-1),6,2)&amp;IF(MID(D1742,4,1)="5","φ12.7","φ15.2")&amp;")")</f>
        <v>EHD5-4H (4φ12.7)</v>
      </c>
      <c r="D1761" s="199"/>
      <c r="E1761" s="200"/>
      <c r="F1761" s="201" t="str">
        <f>"W=テンドン長×PC鋼より線本数×"&amp;IF(MID(D1742,4,1)="5","0.774","1.101")&amp;"kg/m"</f>
        <v>W=テンドン長×PC鋼より線本数×0.774kg/m</v>
      </c>
      <c r="G1761" s="202"/>
      <c r="H1761" s="203"/>
      <c r="I1761" s="204" t="s">
        <v>11</v>
      </c>
      <c r="J1761" s="205">
        <f>IF(OR(D1741=0,D1742="　"),"",MROUND(D1754*MID(LEFT(D1742, LEN(D1742)-1),6,2)*IF(MID(D1742,4,1)="5","0.774","1.101"),0.01))</f>
        <v>30.03</v>
      </c>
      <c r="K1761" s="205">
        <f>IFERROR(D1741*J1761,"")</f>
        <v>300.3</v>
      </c>
    </row>
    <row r="1762" spans="2:11" ht="12" customHeight="1">
      <c r="B1762" s="206" t="s">
        <v>151</v>
      </c>
      <c r="C1762" s="207"/>
      <c r="D1762" s="208"/>
      <c r="E1762" s="209"/>
      <c r="F1762" s="210" t="s">
        <v>33</v>
      </c>
      <c r="G1762" s="211"/>
      <c r="H1762" s="212"/>
      <c r="I1762" s="213" t="s">
        <v>12</v>
      </c>
      <c r="J1762" s="214">
        <f>IF(OR(D1741=0,D1742="　"),"",MROUND(D1754,0.1))</f>
        <v>9.7000000000000011</v>
      </c>
      <c r="K1762" s="214">
        <f>IFERROR(D1741*J1762,"")</f>
        <v>97.000000000000014</v>
      </c>
    </row>
    <row r="1763" spans="2:11" ht="12" customHeight="1">
      <c r="B1763" s="206" t="str">
        <f>"頭部キャップ"</f>
        <v>頭部キャップ</v>
      </c>
      <c r="C1763" s="207" t="str" cm="1">
        <f t="array" ref="C1763">IF(OR(D1741=0,D1742="　"),"",IF(MID(D1742,4,1)="5",_xlfn.SWITCH(1*MID(LEFT(D1742, LEN(D1742)-1),6,2),1,"S",2,"S",3,"S",4,"S",5,"M",6,"M",7,"M",8,"L",9,"L",10,"L",11,"L",12,"L"),_xlfn.SWITCH(1*MID(LEFT(D1742, LEN(D1742)-1),6,2),1,"S",2,"S",3,"M",4,"M",5,"L",6,"L",7,"L",8,"LL",9,"LL",10,"LL",11,"LL",12,"LL",13,"LL",14,"LL"))&amp;"型"&amp;D1744&amp;IF(OR(MID(D1744,1,2)="透明",MID(D1744,1,2)="5窓"),"、PC樹脂","")&amp;"、ｱﾙﾐAC4C相当"&amp;_xlfn.IFS(MID(D1743,1,3)="防食Ⅱ","",MID(D1743,5,2)="塩害","、防食：ﾀｹｺｰﾄ処理",MID(D1743,5,2)="酸性","、防食：重防食処理"))</f>
        <v>S型透明キャップ、PC樹脂、ｱﾙﾐAC4C相当</v>
      </c>
      <c r="D1763" s="215"/>
      <c r="E1763" s="216"/>
      <c r="F1763" s="217" t="str">
        <f t="shared" ref="F1763:F1769" si="69">"n=1"</f>
        <v>n=1</v>
      </c>
      <c r="G1763" s="218"/>
      <c r="H1763" s="219"/>
      <c r="I1763" s="213" t="s">
        <v>13</v>
      </c>
      <c r="J1763" s="220" t="str">
        <f>IF(OR(D1741=0,D1742="　"),"",MID(F1763,3,2))</f>
        <v>1</v>
      </c>
      <c r="K1763" s="214">
        <f>IFERROR(D1741*J1763,"")</f>
        <v>10</v>
      </c>
    </row>
    <row r="1764" spans="2:11" ht="12" customHeight="1">
      <c r="B1764" s="206" t="s">
        <v>5</v>
      </c>
      <c r="C1764" s="207" t="str" cm="1">
        <f t="array" ref="C1764">IF(OR(D1741=0,D1742="　"),"",IF(MID(D1742,4,1)="5","G5"&amp;_xlfn.SWITCH(1*MID(LEFT(D1742, LEN(D1742)-1),6,2),1,"01",2,"02",3,"03",4,"04",5,"07",6,"07",7,"07",8,"09",9,"09",10,"12",11,"12",12,"12"),"G6"&amp;_xlfn.SWITCH(1*MID(LEFT(D1742, LEN(D1742)-1),6,2),1,"01",2,"02",3,"03",4,"04",5,"07",6,"07",7,"07",8,"09",9,"09",10,"12",11,"12",12,"12",13,"14",14,"14"))&amp;"、S45C相当"&amp;IF(MID(D1744,1,3)&lt;&gt;"アルミ","、防食：無電解Niめっき",""))</f>
        <v>G504、S45C相当、防食：無電解Niめっき</v>
      </c>
      <c r="D1764" s="208"/>
      <c r="E1764" s="209"/>
      <c r="F1764" s="217" t="str">
        <f t="shared" si="69"/>
        <v>n=1</v>
      </c>
      <c r="G1764" s="218"/>
      <c r="H1764" s="219"/>
      <c r="I1764" s="213" t="s">
        <v>13</v>
      </c>
      <c r="J1764" s="220" t="str">
        <f>IF(OR(D1741=0,D1742="　"),"",MID(F1764,3,2))</f>
        <v>1</v>
      </c>
      <c r="K1764" s="214">
        <f>IFERROR(D1741*J1764,"")</f>
        <v>10</v>
      </c>
    </row>
    <row r="1765" spans="2:11" ht="12" customHeight="1">
      <c r="B1765" s="206" t="s">
        <v>152</v>
      </c>
      <c r="C1765" s="207" t="str" cm="1">
        <f t="array" ref="C1765">IF(OR(D1741=0,D1742="　"),"",IF(MID(D1742,4,1)="5","G5"&amp;_xlfn.SWITCH(1*MID(LEFT(D1742, LEN(D1742)-1),6,2),1,"01",2,"02",3,"03",4,"04",5,"07",6,"07",7,"07",8,"09",9,"09",10,"12",11,"12",12,"12"),"G6"&amp;_xlfn.SWITCH(1*MID(LEFT(D1742, LEN(D1742)-1),6,2),1,"01",2,"02",3,"03",4,"04",5,"07",6,"07",7,"07",8,"09",9,"09",10,"12",11,"12",12,"12",13,"14",14,"14"))&amp;"、S45C相当"&amp;IF(MID(D1744,1,3)&lt;&gt;"アルミ","、防食：無電解Niめっき",""))</f>
        <v>G504、S45C相当、防食：無電解Niめっき</v>
      </c>
      <c r="D1765" s="208"/>
      <c r="E1765" s="209"/>
      <c r="F1765" s="217" t="str">
        <f t="shared" si="69"/>
        <v>n=1</v>
      </c>
      <c r="G1765" s="218"/>
      <c r="H1765" s="219"/>
      <c r="I1765" s="213" t="s">
        <v>13</v>
      </c>
      <c r="J1765" s="220" t="str">
        <f>IF(OR(D1741=0,D1742="　"),"",MID(F1765,3,2))</f>
        <v>1</v>
      </c>
      <c r="K1765" s="214">
        <f>IFERROR(D1741*J1765,"")</f>
        <v>10</v>
      </c>
    </row>
    <row r="1766" spans="2:11" ht="12" customHeight="1">
      <c r="B1766" s="206" t="s">
        <v>7</v>
      </c>
      <c r="C1766" s="207" t="str">
        <f>IF(OR(D1741=0,D1742="　"),"",IF(1*MID(D1742,4,1)=5,"ECF12.7","ECF15.2")&amp;"、SCM415相当"&amp;IF(MID(D1744,1,3)&lt;&gt;"アルミ","、防食：無電解Niめっき",""))</f>
        <v>ECF12.7、SCM415相当、防食：無電解Niめっき</v>
      </c>
      <c r="D1766" s="208"/>
      <c r="E1766" s="209"/>
      <c r="F1766" s="217" t="str">
        <f t="shared" si="69"/>
        <v>n=1</v>
      </c>
      <c r="G1766" s="218"/>
      <c r="H1766" s="219"/>
      <c r="I1766" s="213" t="s">
        <v>27</v>
      </c>
      <c r="J1766" s="220" t="str">
        <f>IF(OR(D1741=0,D1742="　"),"",MID(F1766,3,2))</f>
        <v>1</v>
      </c>
      <c r="K1766" s="214">
        <f>IFERROR(D1741*J1766,"")</f>
        <v>10</v>
      </c>
    </row>
    <row r="1767" spans="2:11" ht="12" customHeight="1">
      <c r="B1767" s="206" t="s">
        <v>153</v>
      </c>
      <c r="C1767" s="207" t="str" cm="1">
        <f t="array" ref="C1767">IF(OR(D1741=0,D1742="　"),"",IF(MID(D1742,4,1)="5","G5"&amp;_xlfn.SWITCH(1*MID(LEFT(D1742, LEN(D1742)-1),6,2),1,"01",2,"04",3,"03",4,"04",5,"07",6,"07",7,"07",8,"12",9,"12",10,"12",11,"12",12,"12"),"G6"&amp;_xlfn.SWITCH(1*MID(LEFT(D1742, LEN(D1742)-1),6,2),1,"01",2,"02",3,"03",4,"04",5,"07",6,"07",7,"07",8,"12",9,"12",10,"12",11,"12",12,"12",13,"14",14,"14"))&amp;"、SS400相当、防食："&amp;_xlfn.IFS(MID(D1743,1,3)="防食Ⅱ","HDZT77めっき",MID(D1743,5,2)="塩害","ｱﾙﾐﾅｲｽﾞ処理",MID(D1743,5,2)="酸性","重防食処理"))</f>
        <v>G504、SS400相当、防食：HDZT77めっき</v>
      </c>
      <c r="D1767" s="208"/>
      <c r="E1767" s="209"/>
      <c r="F1767" s="217" t="str">
        <f t="shared" si="69"/>
        <v>n=1</v>
      </c>
      <c r="G1767" s="218"/>
      <c r="H1767" s="219"/>
      <c r="I1767" s="213" t="s">
        <v>16</v>
      </c>
      <c r="J1767" s="220" t="str">
        <f>IF(OR(D1741=0,D1742="　"),"",MID(F1767,3,2))</f>
        <v>1</v>
      </c>
      <c r="K1767" s="214">
        <f>IFERROR(D1741*J1767,"")</f>
        <v>10</v>
      </c>
    </row>
    <row r="1768" spans="2:11" ht="12" customHeight="1">
      <c r="B1768" s="206" t="str">
        <f>IF(MID(D1745,1,3)="のり面","管付","")&amp;"支圧板"</f>
        <v>管付支圧板</v>
      </c>
      <c r="C1768" s="221" t="str" cm="1">
        <f t="array" ref="C1768">IF(OR(D1741=0,D1742="　"),"","PL"&amp;IF(MID(D1745,1,3)="のり面","P","")&amp;IF(MID(D1742,4,1)="5","5-"&amp;_xlfn.SWITCH(1*MID(LEFT(D1742, LEN(D1742)-1),6,2),1,"1",2,"2",3,"3",4,"4",5,"5",6,"6",7,"7",8,"9",9,"9",10,"10",11,"11",12,"12"),"6-"&amp;_xlfn.SWITCH(1*MID(LEFT(D1742, LEN(D1742)-1),6,2),1,"1",2,"2",3,"3",4,"4",5,"6",6,"6",7,"7",8,"8",9,"9",10,"10",11,"11",12,"12",13,"14",14,"14"))&amp;"、SS400相当、防食："&amp;_xlfn.IFS(MID(D1743,1,3)="防食Ⅱ","HDZT77めっき",MID(D1743,5,2)="塩害","ｱﾙﾐﾅｲｽﾞ処理",MID(D1743,5,2)="酸性","重防食処理"))</f>
        <v>PLP5-4、SS400相当、防食：HDZT77めっき</v>
      </c>
      <c r="D1768" s="208"/>
      <c r="E1768" s="209"/>
      <c r="F1768" s="217" t="str">
        <f t="shared" si="69"/>
        <v>n=1</v>
      </c>
      <c r="G1768" s="218"/>
      <c r="H1768" s="219"/>
      <c r="I1768" s="213" t="s">
        <v>16</v>
      </c>
      <c r="J1768" s="220" t="str">
        <f>IF(OR(D1741=0,D1742="　"),"",MID(F1768,3,2))</f>
        <v>1</v>
      </c>
      <c r="K1768" s="214">
        <f>IFERROR(D1741*J1768,"")</f>
        <v>10</v>
      </c>
    </row>
    <row r="1769" spans="2:11" ht="12" customHeight="1">
      <c r="B1769" s="206" t="s">
        <v>154</v>
      </c>
      <c r="C1769" s="207" t="str">
        <f>IF(OR(D1741=0,D1742="　"),"","G"&amp;MID(LEFT(D1742, LEN(D1742)-1),4,4)&amp;"、NBR45相当")</f>
        <v>G5-4、NBR45相当</v>
      </c>
      <c r="D1769" s="208"/>
      <c r="E1769" s="209"/>
      <c r="F1769" s="217" t="str">
        <f t="shared" si="69"/>
        <v>n=1</v>
      </c>
      <c r="G1769" s="218"/>
      <c r="H1769" s="219"/>
      <c r="I1769" s="213" t="s">
        <v>13</v>
      </c>
      <c r="J1769" s="220" t="str">
        <f>IF(OR(D1741=0,D1742="　"),"",MID(F1769,3,2))</f>
        <v>1</v>
      </c>
      <c r="K1769" s="214">
        <f>IFERROR(D1741*J1769,"")</f>
        <v>10</v>
      </c>
    </row>
    <row r="1770" spans="2:11" ht="12" customHeight="1">
      <c r="B1770" s="206" t="str" cm="1">
        <f t="array" ref="B1770">_xlfn.IFS(OR(D1741=0,D1742="　"),"",MID(D1744,1,3)="アルミ","頭部防錆油",MID(D1744,1,3)&lt;&gt;"アルミ","余長キャップ")</f>
        <v>余長キャップ</v>
      </c>
      <c r="C1770" s="221" t="str" cm="1">
        <f t="array" ref="C1770">_xlfn.IFS(OR(D1741=0,D1742="　"),"",MID(D1744,1,3)="アルミ","PCコートC",MID(D1744,1,3)&lt;&gt;"アルミ","TC"&amp;MID(D1742,4,1)&amp;"、高密度ポチエチレン")</f>
        <v>TC5、高密度ポチエチレン</v>
      </c>
      <c r="D1770" s="208"/>
      <c r="E1770" s="209"/>
      <c r="F1770" s="217" t="str" cm="1">
        <f t="array" ref="F1770">_xlfn.IFS(OR(D1741=0,D1742="　"),"",MID(D1744,1,3)="アルミ","W="&amp;IF(MID(D1742,4,1)="5",_xlfn.SWITCH(1*MID(LEFT(D1742, LEN(D1742)-1),6,2),1,1.9,2,1.3,3,1.3,4,1.3,5,1.6,6,1.6,7,1.6,8,3.1,9,3.1,10,3.1,11,3.1,12,3.1),"G6"&amp;_xlfn.SWITCH(1*MID(LEFT(D1742, LEN(D1742)-1),6,2),1,1.8,2,1.3,3,1.8,4,1.8,5,3.3,6,3.3,7,3.3,8,9.9,9,9.9,10,9.9,11,9.9,12,9.9,13,9.9,14,9.9)),MID(D1744,1,3)&lt;&gt;"アルミ","n=1")</f>
        <v>n=1</v>
      </c>
      <c r="G1770" s="218"/>
      <c r="H1770" s="219"/>
      <c r="I1770" s="213" t="str" cm="1">
        <f t="array" ref="I1770">_xlfn.IFS(OR(D1741=0,D1742="　"),"",MID(D1744,1,3)="アルミ","kg",MID(D1744,1,3)&lt;&gt;"アルミ","式")</f>
        <v>式</v>
      </c>
      <c r="J1770" s="220" t="str">
        <f>IF(OR(D1741=0,D1742="　"),"",MID(F1770,3,4))</f>
        <v>1</v>
      </c>
      <c r="K1770" s="214">
        <f>IFERROR(D1741*J1770,"")</f>
        <v>10</v>
      </c>
    </row>
    <row r="1771" spans="2:11" ht="12" customHeight="1">
      <c r="B1771" s="206" t="s">
        <v>9</v>
      </c>
      <c r="C1771" s="207" t="str" cm="1">
        <f t="array" ref="C1771">IF(OR(D1741=0,D1742="　"),"",IF(MID(D1742,4,1)="5","PS5-"&amp;_xlfn.SWITCH(1*MID(LEFT(D1742, LEN(D1742)-1),6,2),1,"7",2,"2",3,"3",4,"4",5,"7",6,"7",7,"7",8,"12",9,"12",10,"12",11,"12",12,"12"),"PS6-"&amp;_xlfn.SWITCH(1*MID(LEFT(D1742, LEN(D1742)-1),6,2),1,"7",2,"2",3,"3",4,"4",5,"7",6,"7",7,"7",8,"12",9,"12",10,"12",11,"12",12,"12",13,"14",14,"14"))&amp;"、高密度ポリエチレン")</f>
        <v>PS5-4、高密度ポリエチレン</v>
      </c>
      <c r="D1771" s="208"/>
      <c r="E1771" s="209"/>
      <c r="F1771" s="217" t="str">
        <f>"n=2"</f>
        <v>n=2</v>
      </c>
      <c r="G1771" s="218"/>
      <c r="H1771" s="219"/>
      <c r="I1771" s="213" t="s">
        <v>13</v>
      </c>
      <c r="J1771" s="220" t="str">
        <f>IF(OR(D1741=0,D1742="　"),"",MID(F1771,3,2))</f>
        <v>2</v>
      </c>
      <c r="K1771" s="214">
        <f>IFERROR(D1741*J1771,"")</f>
        <v>20</v>
      </c>
    </row>
    <row r="1772" spans="2:11" ht="12" customHeight="1">
      <c r="B1772" s="206" t="s">
        <v>2</v>
      </c>
      <c r="C1772" s="207" t="str" cm="1">
        <f t="array" ref="C1772">IF(OR(D1741=0,D1742="　"),"",IF(MID(D1742,4,1)="5","S5-"&amp;_xlfn.IFS(1*MID(LEFT(D1742, LEN(D1742)-1),6,2)&lt;6,"5",1*MID(LEFT(D1742, LEN(D1742)-1),6,2)&lt;9,"8",1*MID(LEFT(D1742, LEN(D1742)-1),6,2)&gt;8,"12"),"S6-"&amp;_xlfn.IFS(1*MID(LEFT(D1742, LEN(D1742)-1),6,2)&lt;4,"3",1*MID(LEFT(D1742, LEN(D1742)-1),6,2)&lt;7,"6",1*MID(LEFT(D1742, LEN(D1742)-1),6,2)&lt;10,"9",1*MID(LEFT(D1742, LEN(D1742)-1),6,2)&lt;13,"12",1*MID(LEFT(D1742, LEN(D1742)-1),6,2)&gt;12,"14"))&amp;"、ポリプロピレン")</f>
        <v>S5-5、ポリプロピレン</v>
      </c>
      <c r="D1772" s="208"/>
      <c r="E1772" s="209"/>
      <c r="F1772" s="222" t="s">
        <v>155</v>
      </c>
      <c r="G1772" s="211"/>
      <c r="H1772" s="212"/>
      <c r="I1772" s="213" t="s">
        <v>13</v>
      </c>
      <c r="J1772" s="206">
        <f>IF(OR(D1741=0,D1742="　"),"",MROUND((D1750-0.4)/1,1))</f>
        <v>4</v>
      </c>
      <c r="K1772" s="214">
        <f>IFERROR(D1741*J1772,"")</f>
        <v>40</v>
      </c>
    </row>
    <row r="1773" spans="2:11" ht="12" customHeight="1">
      <c r="B1773" s="206" t="s">
        <v>1</v>
      </c>
      <c r="C1773" s="207" t="str" cm="1">
        <f t="array" ref="C1773">IF(OR(D1741=0,D1742="　"),"",IF(MID(D1742,4,1)="5","PC5-"&amp;_xlfn.IFS(1*MID(LEFT(D1742, LEN(D1742)-1),6,2)&lt;5,"4",1*MID(LEFT(D1742, LEN(D1742)-1),6,2)&lt;8,"7",1*MID(LEFT(D1742, LEN(D1742)-1),6,2)&lt;10,"9",1*MID(LEFT(D1742, LEN(D1742)-1),6,2)&gt;9,"12"),"PC6-"&amp;_xlfn.IFS(1*MID(LEFT(D1742, LEN(D1742)-1),6,2)&lt;4,"3",1*MID(LEFT(D1742, LEN(D1742)-1),6,2)&lt;8,"7",1*MID(LEFT(D1742, LEN(D1742)-1),6,2)&lt;13,"12",1*MID(LEFT(D1742, LEN(D1742)-1),6,2)&gt;12,"14"))&amp;"、ポリプロピレン")</f>
        <v>PC5-4、ポリプロピレン</v>
      </c>
      <c r="D1773" s="208"/>
      <c r="E1773" s="209"/>
      <c r="F1773" s="217" t="str">
        <f>"n=1"</f>
        <v>n=1</v>
      </c>
      <c r="G1773" s="218"/>
      <c r="H1773" s="219"/>
      <c r="I1773" s="213" t="s">
        <v>13</v>
      </c>
      <c r="J1773" s="220" t="str">
        <f>IF(OR(D1741=0,D1742="　"),"",MID(F1773,3,2))</f>
        <v>1</v>
      </c>
      <c r="K1773" s="214">
        <f>IFERROR(D1741*J1773,"")</f>
        <v>10</v>
      </c>
    </row>
    <row r="1774" spans="2:11" ht="12" customHeight="1">
      <c r="B1774" s="206" t="s">
        <v>3</v>
      </c>
      <c r="C1774" s="207" t="str">
        <f>IF(OR(D1741=0,D1742="　"),"","66ナイロン")</f>
        <v>66ナイロン</v>
      </c>
      <c r="D1774" s="208"/>
      <c r="E1774" s="209"/>
      <c r="F1774" s="222" t="s">
        <v>156</v>
      </c>
      <c r="G1774" s="211"/>
      <c r="H1774" s="212"/>
      <c r="I1774" s="213" t="s">
        <v>14</v>
      </c>
      <c r="J1774" s="206">
        <f>IF(OR(D1741=0,D1742="　"),"",2*J1772)</f>
        <v>8</v>
      </c>
      <c r="K1774" s="214">
        <f>IFERROR(D1741*J1774,"")</f>
        <v>80</v>
      </c>
    </row>
    <row r="1775" spans="2:11" ht="12" customHeight="1">
      <c r="B1775" s="206" t="s">
        <v>4</v>
      </c>
      <c r="C1775" s="207" t="str">
        <f>IF(OR(D1741=0,D1742="　"),"","フィラメントテープ")</f>
        <v>フィラメントテープ</v>
      </c>
      <c r="D1775" s="208"/>
      <c r="E1775" s="209"/>
      <c r="F1775" s="222" t="str">
        <f>IF(OR(D1741=0,D1742="　"),"","L=((自由長+緊張部長)÷@1.0m)×テープ係数"&amp;IF(MID(D1742,4,1)="5",_xlfn.IFS(1*MID(LEFT(D1742, LEN(D1742)-1),6,2)&lt;4,"0.8",1*MID(LEFT(D1742, LEN(D1742)-1),6,2)&lt;7,"1.0",1*MID(LEFT(D1742, LEN(D1742)-1),6,2)&lt;10,"1.2",1*MID(LEFT(D1742, LEN(D1742)-1),6,2)&lt;13,"1.4"),_xlfn.IFS(1*MID(LEFT(D1742, LEN(D1742)-1),6,2)&lt;4,"1.0",1*MID(LEFT(D1742, LEN(D1742)-1),6,2)&lt;7,"1.2",1*MID(LEFT(D1742, LEN(D1742)-1),6,2)&lt;10,"1.4",1*MID(LEFT(D1742, LEN(D1742)-1),6,2)&lt;15,"1.8")))</f>
        <v>L=((自由長+緊張部長)÷@1.0m)×テープ係数1.0</v>
      </c>
      <c r="G1775" s="211"/>
      <c r="H1775" s="212"/>
      <c r="I1775" s="213" t="s">
        <v>12</v>
      </c>
      <c r="J1775" s="223">
        <f>IF(OR(D1741=0,D1742="　"),"",MROUND((SUM(D1751,D1752))/1*RIGHT(F1775, 3),0.1))</f>
        <v>5.5</v>
      </c>
      <c r="K1775" s="214">
        <f>IFERROR(D1741*J1775,"")</f>
        <v>55</v>
      </c>
    </row>
    <row r="1776" spans="2:11" ht="12" customHeight="1">
      <c r="B1776" s="206" t="s">
        <v>0</v>
      </c>
      <c r="C1776" s="207" t="str">
        <f>IF(OR(D1741=0,D1742="　"),"","16/20、高密度ポリエチレン")</f>
        <v>16/20、高密度ポリエチレン</v>
      </c>
      <c r="D1776" s="208"/>
      <c r="E1776" s="209"/>
      <c r="F1776" s="210" t="s">
        <v>33</v>
      </c>
      <c r="G1776" s="211"/>
      <c r="H1776" s="212"/>
      <c r="I1776" s="213" t="s">
        <v>12</v>
      </c>
      <c r="J1776" s="214">
        <f>IF(OR(D1741=0,D1742="　"),"",MROUND(D1754,0.1))</f>
        <v>9.7000000000000011</v>
      </c>
      <c r="K1776" s="214">
        <f>IFERROR(D1741*J1776,"")</f>
        <v>97.000000000000014</v>
      </c>
    </row>
    <row r="1777" spans="2:11" ht="12" customHeight="1">
      <c r="B1777" s="206" t="str" cm="1">
        <f t="array" ref="B1777">_xlfn.IFS(OR(D1741=0,D1742="　",MID(D1745,1,2)="なし",MID(D1745,1,3)="受圧体"),"",MID(D1745,1,3)="のり面","のり面角度台座",MID(D1745,1,3)="構造物","構造物壁面台座",MID(D1745,1,3)="土留め","土留め台座")</f>
        <v>のり面角度台座</v>
      </c>
      <c r="C1777" s="210" t="str" cm="1">
        <f t="array" ref="C1777">IF(OR(D1741=0,D1742="　",MID(D1745,1,2)="なし",MID(D1745,1,3)="受圧体"),"",_xlfn.IFS(MID(D1745,1,3)="のり面",IF(1*MID(D1742,4,1)=5,_xlfn.IFS(1*MID(LEFT(D1742, LEN(D1742)-1),6,2)&lt;5,"ST140",1*MID(LEFT(D1742, LEN(D1742)-1),6,2)&lt;8,"ST170",1*MID(LEFT(D1742, LEN(D1742)-1),6,2)&lt;13,"ST220"),_xlfn.IFS(1*MID(LEFT(D1742, LEN(D1742)-1),6,2)&lt;4,"ST140",1*MID(LEFT(D1742, LEN(D1742)-1),6,2)&lt;5,"ST170",1*MID(LEFT(D1742, LEN(D1742)-1),6,2)&lt;8,"ST220",1*MID(LEFT(D1742, LEN(D1742)-1),6,2)&lt;15,"非該当"))&amp;"、FCD450相当、防食："&amp;_xlfn.IFS(MID(D1743,1,3)="防食Ⅱ","HDZT77めっき",MID(D1743,5,2)="塩害","ｱﾙﾐﾅｲｽﾞ処理",MID(D1743,5,2)="酸性","重防食処理"),OR(MID(D1745,1,3)="構造物",MID(D1745,1,3)="土留め"),D1742&amp;"用"&amp;IF(OR(MID(D1745,1,3)="構造物",D1746="　"),"",D1746)&amp;"、防食："&amp;_xlfn.IFS(MID(D1743,1,3)="防食Ⅱ","HDZT77めっき",MID(D1743,5,2)="塩害","ｱﾙﾐﾅｲｽﾞ処理",MID(D1743,5,2)="酸性","重防食処理")))</f>
        <v>ST140、FCD450相当、防食：HDZT77めっき</v>
      </c>
      <c r="D1777" s="208"/>
      <c r="E1777" s="209"/>
      <c r="F1777" s="217" t="str">
        <f>IF(OR(D1745="なし",D1745="受圧体のみ"),"","n=1")</f>
        <v>n=1</v>
      </c>
      <c r="G1777" s="218"/>
      <c r="H1777" s="219"/>
      <c r="I1777" s="213" t="str">
        <f>IF(OR(D1741=0,D1742="　",B1777=""),"","台")</f>
        <v>台</v>
      </c>
      <c r="J1777" s="220" t="str">
        <f>IF(OR(D1741=0,D1742="　"),"",MID(F1777,3,2))</f>
        <v>1</v>
      </c>
      <c r="K1777" s="214">
        <f>IFERROR(D1741*J1777,"")</f>
        <v>10</v>
      </c>
    </row>
    <row r="1778" spans="2:11" ht="12" customHeight="1">
      <c r="B1778" s="206" t="str">
        <f>IF(OR(D1741=0,D1742="　",MID(D1745,1,3)&lt;&gt;"のり面"),"","補剛板")</f>
        <v>補剛板</v>
      </c>
      <c r="C1778" s="210" t="str" cm="1">
        <f t="array" ref="C1778">IF(OR(D1741=0,D1742="　",MID(D1745,1,3)&lt;&gt;"のり面"),"",IF(MID(D1742,4,1)="5","□"&amp;_xlfn.SWITCH(1*MID(LEFT(D1742, LEN(D1742)-1),6,2),1,"210φ131t12",2,"210φ131t12",3,"240φ131t12",4,"270φ131t12",5,"280φ143t12",6,"310φ143t16",7,"350φ143t19",8,"350φ180t19",9,"350φ180t19",10,"350φ180t19",11,"350φ180t22",12,"350φ180t22"),"□"&amp;_xlfn.SWITCH(1*MID(LEFT(D1742, LEN(D1742)-1),6,2),1,"210,φ131,t12",2,"240,φ131,t12",3,"270,φ131,t16",4,"300,φ143,t16",5,"350,φ180,t16",6,"350,φ180,t16",7,"350,φ180,t19",8,"400,φ──,t12",9,"400,φ──,t12",10,"400,φ──,t12",11,"400,φ──,t12",12,"400,φ──,t12",13,"400,φ──,t12",14,"400,φ──,t12"))&amp;"、SS400相当、防食："&amp;_xlfn.IFS(MID(D1743,1,3)="防食Ⅱ","HDZT77めっき",MID(D1743,5,2)="塩害","ｱﾙﾐﾅｲｽﾞ処理",MID(D1743,5,2)="酸性","重防食処理"))</f>
        <v>□270φ131t12、SS400相当、防食：HDZT77めっき</v>
      </c>
      <c r="D1778" s="208"/>
      <c r="E1778" s="209"/>
      <c r="F1778" s="217" t="str">
        <f>IF(OR(D1741=0,D1742="　",MID(D1745,1,3)&lt;&gt;"のり面"),"","n=1")</f>
        <v>n=1</v>
      </c>
      <c r="G1778" s="218"/>
      <c r="H1778" s="219"/>
      <c r="I1778" s="213" t="str">
        <f>IF(OR(D1741=0,D1742="　",B1778="",MID(D1745,1,3)&lt;&gt;"のり面"),"","枚")</f>
        <v>枚</v>
      </c>
      <c r="J1778" s="220" t="str">
        <f>IF(OR(D1741=0,D1742="　"),"",MID(F1778,3,2))</f>
        <v>1</v>
      </c>
      <c r="K1778" s="214">
        <f>IFERROR(D1741*J1778,"")</f>
        <v>10</v>
      </c>
    </row>
    <row r="1779" spans="2:11" ht="12" customHeight="1">
      <c r="B1779" s="206" t="str" cm="1">
        <f t="array" ref="B1779">_xlfn.IFS(OR(D1741=0,D1742="　"),"",MID(D1744,1,3)="アルミ","",MID(D1744,1,3)&lt;&gt;"アルミ","テンドン補修用塗料")</f>
        <v>テンドン補修用塗料</v>
      </c>
      <c r="C1779" s="210" t="str" cm="1">
        <f t="array" ref="C1779">_xlfn.IFS(OR(D1741=0,D1742="　"),"",MID(D1744,1,3)="アルミ","",MID(D1744,1,3)&lt;&gt;"アルミ","エポキシ樹脂")</f>
        <v>エポキシ樹脂</v>
      </c>
      <c r="D1779" s="208"/>
      <c r="E1779" s="209"/>
      <c r="F1779" s="217" t="str" cm="1">
        <f t="array" ref="F1779">_xlfn.IFS(OR(D1741=0,D1742="　"),"",MID(D1744,1,3)="アルミ","",MID(D1744,1,3)&lt;&gt;"アルミ","W=PC鋼より線本数×"&amp;IF(MID(D1742,4,1)="5","0.28","0.40"))</f>
        <v>W=PC鋼より線本数×0.28</v>
      </c>
      <c r="G1779" s="218"/>
      <c r="H1779" s="219"/>
      <c r="I1779" s="213" t="str" cm="1">
        <f t="array" ref="I1779">_xlfn.IFS(OR(D1741=0,D1742="　"),"",MID(D1744,1,3)="アルミ","",MID(D1744,1,3)&lt;&gt;"アルミ","g")</f>
        <v>g</v>
      </c>
      <c r="J1779" s="224" cm="1">
        <f t="array" ref="J1779">_xlfn.IFS(OR(D1741=0,D1742="　"),"",MID(D1744,1,3)="アルミ","",MID(D1744,1,3)&lt;&gt;"アルミ",MID(LEFT(D1742, LEN(D1742)-1),6,2)*IF(MID(D1742,4,1)="5",0.28,0.4))</f>
        <v>1.1200000000000001</v>
      </c>
      <c r="K1779" s="214">
        <f>IFERROR(D1741*J1779,"")</f>
        <v>11.200000000000001</v>
      </c>
    </row>
    <row r="1780" spans="2:11" ht="12" customHeight="1">
      <c r="B1780" s="206" t="str" cm="1">
        <f t="array" ref="B1780">_xlfn.IFS(OR(D1741=0,D1742="　"),"",MID(D1744,1,3)="アルミ","",MID(D1744,1,3)&lt;&gt;"アルミ","長期防錆スプレー")</f>
        <v>長期防錆スプレー</v>
      </c>
      <c r="C1780" s="210" t="str" cm="1">
        <f t="array" ref="C1780">_xlfn.IFS(OR(D1741=0,D1742="　"),"",MID(D1744,1,3)="アルミ","",MID(D1744,1,3)&lt;&gt;"アルミ","防錆オイル")</f>
        <v>防錆オイル</v>
      </c>
      <c r="D1780" s="208"/>
      <c r="E1780" s="209"/>
      <c r="F1780" s="217" t="str" cm="1">
        <f t="array" ref="F1780">_xlfn.IFS(OR(D1741=0,D1742="　"),"",MID(D1744,1,3)="アルミ","",MID(D1744,1,3)&lt;&gt;"アルミ","n=0.01×(PC鋼より線本数+"&amp;IF(MID(D1742,4,1)="5","6","12")&amp;")")</f>
        <v>n=0.01×(PC鋼より線本数+6)</v>
      </c>
      <c r="G1780" s="218"/>
      <c r="H1780" s="219"/>
      <c r="I1780" s="213" t="str" cm="1">
        <f t="array" ref="I1780">_xlfn.IFS(OR(D1741=0,D1742="　"),"",MID(D1744,1,3)="アルミ","",MID(D1744,1,3)&lt;&gt;"アルミ","缶")</f>
        <v>缶</v>
      </c>
      <c r="J1780" s="224" cm="1">
        <f t="array" ref="J1780">_xlfn.IFS(OR(D1741=0,D1742="　"),"",MID(D1744,1,3)="アルミ","",MID(D1744,1,3)&lt;&gt;"アルミ",0.01*(MID(LEFT(D1742, LEN(D1742)-1),6,2)+IF(MID(D1742,4,1)="5",6,12)))</f>
        <v>0.1</v>
      </c>
      <c r="K1780" s="214">
        <f>IFERROR(D1741*J1780,"")</f>
        <v>1</v>
      </c>
    </row>
    <row r="1781" spans="2:11" ht="12" customHeight="1">
      <c r="B1781" s="206" t="str">
        <f>IF(OR(D1741=0,D1742="　",D1747="なし"),"","フリーパッカー注入ホース")</f>
        <v/>
      </c>
      <c r="C1781" s="207" t="str">
        <f>IF(OR(D1741=0,D1742="　",B1781=""),"","16/20、高密度ポリエチレン")</f>
        <v/>
      </c>
      <c r="D1781" s="208"/>
      <c r="E1781" s="209"/>
      <c r="F1781" s="210" t="str">
        <f>IF(B1781="","","L=自由長+緊張部長")</f>
        <v/>
      </c>
      <c r="G1781" s="211"/>
      <c r="H1781" s="212"/>
      <c r="I1781" s="213" t="str">
        <f>IF(OR(D1741=0,D1742="　",B1781=""),"","m")</f>
        <v/>
      </c>
      <c r="J1781" s="214" t="str">
        <f>IF(OR(D1741=0,D1742="　"),"",IF(B1781="","",MROUND(D1751+D1752,0.1)))</f>
        <v/>
      </c>
      <c r="K1781" s="214" t="str">
        <f>IFERROR(D1741*J1781,"")</f>
        <v/>
      </c>
    </row>
    <row r="1782" spans="2:11" ht="12" customHeight="1">
      <c r="B1782" s="225" t="str">
        <f>IF(OR(D1741=0,D1742="　",D1747="なし"),"","フリーパッカー")</f>
        <v/>
      </c>
      <c r="C1782" s="217" t="str" cm="1">
        <f t="array" ref="C1782">IF(OR(D1741=0,D1742="　",B1781=""),"",_xlfn.SWITCH(D1756,90,"PA-170",115,"PA-200",135,"PA-240",146,"PA-240",165,"PA-350")&amp;"、織布")</f>
        <v/>
      </c>
      <c r="D1782" s="208"/>
      <c r="E1782" s="209"/>
      <c r="F1782" s="226" t="str">
        <f>IF(B1782="","","L=自由長+0.5m")</f>
        <v/>
      </c>
      <c r="G1782" s="227"/>
      <c r="H1782" s="228"/>
      <c r="I1782" s="213" t="str">
        <f>IF(OR(D1742=0,D1743="　",B1782=""),"","m")</f>
        <v/>
      </c>
      <c r="J1782" s="214" t="str">
        <f>IF(OR(D1741=0,D1742="　"),"",IF(B1782="","",MROUND(D1751+0.5,0.1)))</f>
        <v/>
      </c>
      <c r="K1782" s="214" t="str">
        <f>IFERROR(D1741*J1782,"")</f>
        <v/>
      </c>
    </row>
    <row r="1783" spans="2:11" ht="12" customHeight="1">
      <c r="B1783" s="206" t="str">
        <f>IF(OR(D1741=0,D1742="　",D1747="なし"),"","パッカー取付加工")</f>
        <v/>
      </c>
      <c r="C1783" s="207"/>
      <c r="D1783" s="208"/>
      <c r="E1783" s="209"/>
      <c r="F1783" s="217" t="str">
        <f>IF(B1783="","","n=1")</f>
        <v/>
      </c>
      <c r="G1783" s="218"/>
      <c r="H1783" s="219"/>
      <c r="I1783" s="213" t="str">
        <f>IF(OR(D1743=0,D1744="　",B1783=""),"","式")</f>
        <v/>
      </c>
      <c r="J1783" s="220" t="str">
        <f>IF(OR(D1741=0,D1742="　"),"",MID(F1783,3,2))</f>
        <v/>
      </c>
      <c r="K1783" s="206" t="str">
        <f>IFERROR(D1741*J1783,"")</f>
        <v/>
      </c>
    </row>
    <row r="1784" spans="2:11" ht="12" customHeight="1">
      <c r="B1784" s="229"/>
      <c r="C1784" s="230"/>
      <c r="D1784" s="231"/>
      <c r="E1784" s="232"/>
      <c r="F1784" s="233"/>
      <c r="G1784" s="234"/>
      <c r="H1784" s="235"/>
      <c r="I1784" s="236"/>
      <c r="J1784" s="237"/>
      <c r="K1784" s="229"/>
    </row>
    <row r="1785" spans="2:11" ht="12" customHeight="1">
      <c r="B1785" s="238" t="s">
        <v>30</v>
      </c>
      <c r="C1785" s="239" t="s">
        <v>31</v>
      </c>
      <c r="D1785" s="240"/>
      <c r="E1785" s="241"/>
      <c r="F1785" s="242" t="s">
        <v>157</v>
      </c>
      <c r="G1785" s="243"/>
      <c r="H1785" s="244"/>
      <c r="I1785" s="245" t="s">
        <v>55</v>
      </c>
      <c r="J1785" s="246">
        <f>IFERROR(MROUND(0.25*PI()*(0.001*D1756)^2*(D1749+D1750+D1755)*(1+2.2),0.01),"")</f>
        <v>0.17</v>
      </c>
      <c r="K1785" s="246">
        <f>IFERROR(D1741*J1785,"")</f>
        <v>1.7000000000000002</v>
      </c>
    </row>
    <row r="1787" spans="2:11" ht="12" customHeight="1">
      <c r="B1787" s="247" t="s">
        <v>136</v>
      </c>
      <c r="C1787" s="247"/>
      <c r="D1787" s="247"/>
      <c r="F1787" s="163"/>
      <c r="G1787" s="164"/>
      <c r="H1787" s="164"/>
    </row>
    <row r="1788" spans="2:11" ht="12" customHeight="1">
      <c r="B1788" s="15" t="s">
        <v>111</v>
      </c>
      <c r="C1788" s="15"/>
      <c r="D1788" s="1"/>
      <c r="E1788" s="1"/>
      <c r="H1788" s="119"/>
      <c r="J1788" s="118"/>
    </row>
    <row r="1789" spans="2:11" ht="12" customHeight="1">
      <c r="B1789" s="165" t="s">
        <v>166</v>
      </c>
      <c r="C1789" s="3"/>
      <c r="D1789" s="1"/>
      <c r="E1789" s="1"/>
      <c r="F1789" s="8"/>
      <c r="G1789" s="8"/>
      <c r="H1789" s="102"/>
      <c r="I1789" s="28"/>
      <c r="J1789" s="118"/>
    </row>
    <row r="1790" spans="2:11" ht="12" customHeight="1">
      <c r="B1790" s="15" t="s">
        <v>40</v>
      </c>
      <c r="C1790" s="3"/>
      <c r="D1790" s="1"/>
      <c r="E1790" s="1"/>
      <c r="F1790" s="15" t="s">
        <v>54</v>
      </c>
      <c r="G1790" s="15"/>
      <c r="H1790" s="102"/>
      <c r="I1790" s="28"/>
    </row>
    <row r="1791" spans="2:11" ht="12" customHeight="1">
      <c r="B1791" s="2" t="s">
        <v>53</v>
      </c>
      <c r="C1791" s="2" t="s">
        <v>21</v>
      </c>
      <c r="D1791" s="2" t="s">
        <v>22</v>
      </c>
      <c r="E1791" s="17"/>
      <c r="F1791" s="49" t="s">
        <v>41</v>
      </c>
      <c r="G1791" s="97" t="s">
        <v>59</v>
      </c>
      <c r="H1791" s="49" t="s">
        <v>44</v>
      </c>
      <c r="I1791" s="2" t="s">
        <v>21</v>
      </c>
      <c r="J1791" s="49" t="s">
        <v>138</v>
      </c>
      <c r="K1791" s="2" t="s">
        <v>28</v>
      </c>
    </row>
    <row r="1792" spans="2:11" ht="12" customHeight="1">
      <c r="B1792" s="166" t="s">
        <v>25</v>
      </c>
      <c r="C1792" s="18" t="s">
        <v>24</v>
      </c>
      <c r="D1792" s="167">
        <v>10</v>
      </c>
      <c r="E1792" s="19"/>
      <c r="F1792" s="168" t="s">
        <v>43</v>
      </c>
      <c r="G1792" s="169" t="s">
        <v>113</v>
      </c>
      <c r="H1792" s="88" t="str" cm="1">
        <f t="array" ref="H1792">_xlfn.IFS(AND(F1792&lt;&gt;"非削孔",F1792&lt;&gt;"無設定"),D1807,F1792="非削孔",IF(MID(D1796,1,3)="土留め","非削孔","箱抜き"),F1792="無設定","無設定")</f>
        <v>箱抜き</v>
      </c>
      <c r="I1792" s="23" t="str">
        <f>IF(F1792="無設定","","m")</f>
        <v>m</v>
      </c>
      <c r="J1792" s="170">
        <v>0.5</v>
      </c>
      <c r="K1792" s="30">
        <f>D1792*J1792</f>
        <v>5</v>
      </c>
    </row>
    <row r="1793" spans="2:11" ht="12" customHeight="1">
      <c r="B1793" s="171" t="s">
        <v>37</v>
      </c>
      <c r="C1793" s="50" t="s">
        <v>38</v>
      </c>
      <c r="D1793" s="172" t="s">
        <v>159</v>
      </c>
      <c r="E1793" s="173"/>
      <c r="F1793" s="174" t="s">
        <v>49</v>
      </c>
      <c r="G1793" s="169" t="s">
        <v>114</v>
      </c>
      <c r="H1793" s="88" cm="1">
        <f t="array" ref="H1793">_xlfn.IFS(AND(F1793&lt;&gt;"非削孔",F1793&lt;&gt;"無設定"),D1807,F1793="非削孔","箱抜き",F1793="無設定","無設定")</f>
        <v>90</v>
      </c>
      <c r="I1793" s="23" t="str">
        <f t="shared" ref="I1793:I1801" si="70">IF(F1793="無設定","","m")</f>
        <v>m</v>
      </c>
      <c r="J1793" s="170">
        <v>2.64</v>
      </c>
      <c r="K1793" s="30">
        <f>D1792*J1793</f>
        <v>26.400000000000002</v>
      </c>
    </row>
    <row r="1794" spans="2:11" ht="12" customHeight="1">
      <c r="B1794" s="52" t="s">
        <v>39</v>
      </c>
      <c r="C1794" s="91" t="s">
        <v>38</v>
      </c>
      <c r="D1794" s="175" t="s">
        <v>60</v>
      </c>
      <c r="E1794" s="140"/>
      <c r="F1794" s="174" t="s">
        <v>49</v>
      </c>
      <c r="G1794" s="169" t="s">
        <v>115</v>
      </c>
      <c r="H1794" s="88" cm="1">
        <f t="array" ref="H1794">_xlfn.IFS(AND(F1794&lt;&gt;"非削孔",F1794&lt;&gt;"無設定"),D1807,F1794="非削孔","箱抜き",F1794="無設定","無設定")</f>
        <v>90</v>
      </c>
      <c r="I1794" s="23" t="str">
        <f t="shared" si="70"/>
        <v>m</v>
      </c>
      <c r="J1794" s="170">
        <v>5.36</v>
      </c>
      <c r="K1794" s="30">
        <f>D1792*J1794</f>
        <v>53.6</v>
      </c>
    </row>
    <row r="1795" spans="2:11" ht="12" customHeight="1">
      <c r="B1795" s="147" t="s">
        <v>140</v>
      </c>
      <c r="C1795" s="91" t="s">
        <v>38</v>
      </c>
      <c r="D1795" s="176" t="s">
        <v>141</v>
      </c>
      <c r="E1795" s="141"/>
      <c r="F1795" s="174" t="s">
        <v>48</v>
      </c>
      <c r="G1795" s="169"/>
      <c r="H1795" s="88" t="str" cm="1">
        <f t="array" ref="H1795">_xlfn.IFS(AND(F1795&lt;&gt;"非削孔",F1795&lt;&gt;"無設定"),D1807,F1795="非削孔","箱抜き",F1795="無設定","無設定")</f>
        <v>無設定</v>
      </c>
      <c r="I1795" s="23" t="str">
        <f t="shared" si="70"/>
        <v/>
      </c>
      <c r="J1795" s="170">
        <v>0</v>
      </c>
      <c r="K1795" s="30">
        <f>D1792*J1795</f>
        <v>0</v>
      </c>
    </row>
    <row r="1796" spans="2:11" ht="12" customHeight="1">
      <c r="B1796" s="147" t="s">
        <v>142</v>
      </c>
      <c r="C1796" s="91" t="s">
        <v>38</v>
      </c>
      <c r="D1796" s="177" t="s">
        <v>160</v>
      </c>
      <c r="E1796" s="21"/>
      <c r="F1796" s="174" t="s">
        <v>48</v>
      </c>
      <c r="G1796" s="169"/>
      <c r="H1796" s="88" t="str" cm="1">
        <f t="array" ref="H1796">_xlfn.IFS(AND(F1796&lt;&gt;"非削孔",F1796&lt;&gt;"無設定"),D1807,F1796="非削孔","箱抜き",F1796="無設定","無設定")</f>
        <v>無設定</v>
      </c>
      <c r="I1796" s="23" t="str">
        <f t="shared" si="70"/>
        <v/>
      </c>
      <c r="J1796" s="170">
        <v>0</v>
      </c>
      <c r="K1796" s="30">
        <f>D1792*J1796</f>
        <v>0</v>
      </c>
    </row>
    <row r="1797" spans="2:11" ht="12" customHeight="1">
      <c r="B1797" s="114" t="str">
        <f>IF(MID(D1796,1,3)="土留め",D1796&amp;"の種類","")</f>
        <v/>
      </c>
      <c r="C1797" s="91" t="s">
        <v>38</v>
      </c>
      <c r="D1797" s="178" t="s">
        <v>71</v>
      </c>
      <c r="E1797" s="21"/>
      <c r="F1797" s="174" t="s">
        <v>48</v>
      </c>
      <c r="G1797" s="169"/>
      <c r="H1797" s="88" t="str" cm="1">
        <f t="array" ref="H1797">_xlfn.IFS(AND(F1797&lt;&gt;"非削孔",F1797&lt;&gt;"無設定"),D1807,F1797="非削孔","箱抜き",F1797="無設定","無設定")</f>
        <v>無設定</v>
      </c>
      <c r="I1797" s="23" t="str">
        <f t="shared" si="70"/>
        <v/>
      </c>
      <c r="J1797" s="170">
        <v>0</v>
      </c>
      <c r="K1797" s="30">
        <f>D1792*J1797</f>
        <v>0</v>
      </c>
    </row>
    <row r="1798" spans="2:11" ht="12" customHeight="1">
      <c r="B1798" s="179" t="s">
        <v>50</v>
      </c>
      <c r="C1798" s="180" t="s">
        <v>38</v>
      </c>
      <c r="D1798" s="181" t="s">
        <v>51</v>
      </c>
      <c r="E1798" s="182"/>
      <c r="F1798" s="174" t="s">
        <v>48</v>
      </c>
      <c r="G1798" s="169"/>
      <c r="H1798" s="88" t="str" cm="1">
        <f t="array" ref="H1798">_xlfn.IFS(AND(F1798&lt;&gt;"非削孔",F1798&lt;&gt;"無設定"),D1807,F1798="非削孔","箱抜き",F1798="無設定","無設定")</f>
        <v>無設定</v>
      </c>
      <c r="I1798" s="23" t="str">
        <f t="shared" si="70"/>
        <v/>
      </c>
      <c r="J1798" s="170">
        <v>0</v>
      </c>
      <c r="K1798" s="30">
        <f>D1792*J1798</f>
        <v>0</v>
      </c>
    </row>
    <row r="1799" spans="2:11" ht="12" customHeight="1">
      <c r="B1799" s="160" t="str" cm="1">
        <f t="array" ref="B1799">"頭部自由長"&amp;_xlfn.IFS(MID(D1796,1,2)="なし","",MID(D1796,1,3)="受圧体","(受圧体)",MID(D1796,1,3)="のり面","(角度台座＋受圧体)",MID(D1796,1,3)="構造物","(壁面台座)",MID(D1796,1,3)="土留め","(台座+腹起し)")&amp;"　Lfh"</f>
        <v>頭部自由長(角度台座＋受圧体)　Lfh</v>
      </c>
      <c r="C1799" s="155" t="s">
        <v>23</v>
      </c>
      <c r="D1799" s="183">
        <v>0.5</v>
      </c>
      <c r="E1799" s="21"/>
      <c r="F1799" s="174" t="s">
        <v>144</v>
      </c>
      <c r="G1799" s="169"/>
      <c r="H1799" s="88" cm="1">
        <f t="array" ref="H1799">_xlfn.IFS(AND(F1799&lt;&gt;"非削孔",F1799&lt;&gt;"無設定"),D1807,F1799="非削孔","箱抜き",F1799="無設定","無設定")</f>
        <v>90</v>
      </c>
      <c r="I1799" s="23" t="str">
        <f t="shared" si="70"/>
        <v>m</v>
      </c>
      <c r="J1799" s="170">
        <v>0</v>
      </c>
      <c r="K1799" s="30">
        <f>D1792*J1799</f>
        <v>0</v>
      </c>
    </row>
    <row r="1800" spans="2:11" ht="12" customHeight="1">
      <c r="B1800" s="22" t="s">
        <v>108</v>
      </c>
      <c r="C1800" s="23" t="s">
        <v>23</v>
      </c>
      <c r="D1800" s="184">
        <v>4</v>
      </c>
      <c r="E1800" s="21"/>
      <c r="F1800" s="174" t="s">
        <v>48</v>
      </c>
      <c r="G1800" s="169"/>
      <c r="H1800" s="88" t="str" cm="1">
        <f t="array" ref="H1800">_xlfn.IFS(AND(F1800&lt;&gt;"非削孔",F1800&lt;&gt;"無設定"),D1807,F1800="非削孔","箱抜き",F1800="無設定","無設定")</f>
        <v>無設定</v>
      </c>
      <c r="I1800" s="23" t="str">
        <f t="shared" si="70"/>
        <v/>
      </c>
      <c r="J1800" s="170">
        <v>0</v>
      </c>
      <c r="K1800" s="30">
        <f>D1792*J1800</f>
        <v>0</v>
      </c>
    </row>
    <row r="1801" spans="2:11" ht="12" customHeight="1">
      <c r="B1801" s="157" t="s">
        <v>36</v>
      </c>
      <c r="C1801" s="158" t="s">
        <v>23</v>
      </c>
      <c r="D1801" s="185">
        <v>4</v>
      </c>
      <c r="F1801" s="186" t="str" cm="1">
        <f t="array" ref="F1801">INDEX(F1792:H1800,MATCH("無設定",F1792:F1800,0)-1,MATCH(F1791,F1791:H1791,0))</f>
        <v>軟　岩</v>
      </c>
      <c r="G1801" s="100" t="str" cm="1">
        <f t="array" ref="G1801">INDEX(F1792:H1800,MATCH("無設定",F1792:F1800,0)-1,MATCH(G1791,F1791:H1791,0))&amp;"　(先端長 L2d)"</f>
        <v>風化岩 CL　(先端長 L2d)</v>
      </c>
      <c r="H1801" s="88" cm="1">
        <f t="array" ref="H1801">INDEX(F1792:H1800,MATCH("無設定",F1792:F1800,0)-1,MATCH(H1791,F1791:H1791,0))</f>
        <v>90</v>
      </c>
      <c r="I1801" s="23" t="str">
        <f t="shared" si="70"/>
        <v>m</v>
      </c>
      <c r="J1801" s="98">
        <f>D1806</f>
        <v>0.25</v>
      </c>
      <c r="K1801" s="78">
        <f>IFERROR(D1792*J1801,"")</f>
        <v>2.5</v>
      </c>
    </row>
    <row r="1802" spans="2:11" ht="12" customHeight="1">
      <c r="B1802" s="154" t="s">
        <v>145</v>
      </c>
      <c r="C1802" s="155" t="s">
        <v>23</v>
      </c>
      <c r="D1802" s="187">
        <f>IF(OR(D1792=0,D1793="　"),"──",SUM(D1799:D1800))</f>
        <v>4.5</v>
      </c>
      <c r="E1802" s="19"/>
      <c r="F1802" s="188"/>
      <c r="G1802" s="75" t="s">
        <v>124</v>
      </c>
      <c r="H1802" s="103"/>
      <c r="I1802" s="18" t="s">
        <v>23</v>
      </c>
      <c r="J1802" s="74">
        <f>SUMIFS(J1792:J1801,F1792:F1801,"&lt;&gt;非削孔",F1792:F1801,"&lt;&gt;無設定")</f>
        <v>8.25</v>
      </c>
      <c r="K1802" s="95">
        <f>SUMIFS(K1792:K1801,F1792:F1801,"&lt;&gt;非削孔",F1792:F1801,"&lt;&gt;無設定")</f>
        <v>82.5</v>
      </c>
    </row>
    <row r="1803" spans="2:11" ht="12" customHeight="1">
      <c r="B1803" s="146" t="s">
        <v>146</v>
      </c>
      <c r="C1803" s="23" t="s">
        <v>23</v>
      </c>
      <c r="D1803" s="189" cm="1">
        <f t="array" ref="D1803">IF(OR(D1792=0,D1793="　"),"──",IF(MID(D1793,4,1)="5",_xlfn.IFS(1*MID(LEFT(D1793, LEN(D1793)-1),6,2)&lt;8,1,1*MID(LEFT(D1793, LEN(D1793)-1),6,2)&lt;13,1.2),_xlfn.IFS(1*MID(LEFT(D1793, LEN(D1793)-1),6,2)&lt;6,1,1*MID(LEFT(D1793, LEN(D1793)-1),6,2)&lt;15,1.2)))</f>
        <v>1</v>
      </c>
      <c r="E1803" s="19"/>
      <c r="F1803" s="190"/>
      <c r="G1803" s="76" t="s">
        <v>47</v>
      </c>
      <c r="H1803" s="104"/>
      <c r="I1803" s="79" t="s">
        <v>46</v>
      </c>
      <c r="J1803" s="77" t="str">
        <f>IF(OR(D1792=0,D1793="　"),"",IF(SUM(D1800:D1801,D1806)=J1802,"OK","NG"))</f>
        <v>OK</v>
      </c>
      <c r="K1803" s="145" t="str">
        <f>IF(J1803&lt;&gt;"NG","──",J1802-SUM(D1800:D1801,D1806))</f>
        <v>──</v>
      </c>
    </row>
    <row r="1804" spans="2:11" ht="12" customHeight="1">
      <c r="B1804" s="22" t="s">
        <v>125</v>
      </c>
      <c r="C1804" s="23" t="s">
        <v>35</v>
      </c>
      <c r="D1804" s="84">
        <f>IF(OR(D1792=0,D1793="　"),"──",0.2)</f>
        <v>0.2</v>
      </c>
      <c r="F1804" s="191" t="s">
        <v>58</v>
      </c>
      <c r="G1804" s="248" t="s">
        <v>110</v>
      </c>
      <c r="H1804" s="249"/>
      <c r="I1804" s="249"/>
      <c r="J1804" s="249"/>
      <c r="K1804" s="250"/>
    </row>
    <row r="1805" spans="2:11" ht="12" customHeight="1">
      <c r="B1805" s="6" t="s">
        <v>147</v>
      </c>
      <c r="C1805" s="23" t="s">
        <v>23</v>
      </c>
      <c r="D1805" s="60">
        <f>IF(OR(D1792=0,D1793="　"),"──",SUM(D1801:D1804))</f>
        <v>9.6999999999999993</v>
      </c>
    </row>
    <row r="1806" spans="2:11" ht="12" customHeight="1">
      <c r="B1806" s="25" t="s">
        <v>127</v>
      </c>
      <c r="C1806" s="26" t="s">
        <v>23</v>
      </c>
      <c r="D1806" s="27">
        <f>IF(OR(D1792=0,D1793="　"),"──",0.25)</f>
        <v>0.25</v>
      </c>
      <c r="F1806" s="8"/>
      <c r="G1806" s="8"/>
      <c r="H1806" s="102"/>
    </row>
    <row r="1807" spans="2:11" ht="12" customHeight="1">
      <c r="B1807" s="95" t="s">
        <v>123</v>
      </c>
      <c r="C1807" s="18" t="s">
        <v>32</v>
      </c>
      <c r="D1807" s="192">
        <v>90</v>
      </c>
      <c r="E1807" s="193" t="str">
        <f>IF(D1807&lt;D1808,"NG：削孔径不適合","")</f>
        <v/>
      </c>
      <c r="F1807" s="8"/>
      <c r="G1807" s="8"/>
      <c r="H1807" s="102"/>
    </row>
    <row r="1808" spans="2:11" ht="12" customHeight="1">
      <c r="B1808" s="25" t="s">
        <v>122</v>
      </c>
      <c r="C1808" s="26" t="s">
        <v>32</v>
      </c>
      <c r="D1808" s="194" cm="1">
        <f t="array" ref="D1808">IF(OR(D1792=0,D1793="　"),"──",IF(D1798="なし",IF(MID(D1793,4,1)="5",_xlfn.IFS(1*MID(LEFT(D1793, LEN(D1793)-1),6,2)&lt;6,90,1*MID(LEFT(D1793, LEN(D1793)-1),6,2)&lt;9,115,1*MID(LEFT(D1793, LEN(D1793)-1),6,2)&gt;8,135),_xlfn.IFS(1*MID(LEFT(D1793, LEN(D1793)-1),6,2)&lt;4,90,1*MID(LEFT(D1793, LEN(D1793)-1),6,2)&lt;7,115,1*MID(LEFT(D1793, LEN(D1793)-1),6,2)&lt;10,135,1*MID(LEFT(D1793, LEN(D1793)-1),6,2)&lt;13,146,1*MID(LEFT(D1793, LEN(D1793)-1),6,2)&gt;12,165)),IF(MID(D1793,4,1)="5",_xlfn.IFS(1*MID(LEFT(D1793, LEN(D1793)-1),6,2)&lt;3,90,1*MID(LEFT(D1793, LEN(D1793)-1),6,2)&lt;7,115,1*MID(LEFT(D1793, LEN(D1793)-1),6,2)&lt;9,135,1*MID(LEFT(D1793, LEN(D1793)-1),6,2)&gt;8,146),_xlfn.IFS(1*MID(LEFT(D1793, LEN(D1793)-1),6,2)&lt;3,90,1*MID(LEFT(D1793, LEN(D1793)-1),6,2)&lt;4,115,1*MID(LEFT(D1793, LEN(D1793)-1),6,2)&lt;6,135,1*MID(LEFT(D1793, LEN(D1793)-1),6,2)&lt;10,146,1*MID(LEFT(D1793, LEN(D1793)-1),6,2)&lt;13,165,1*MID(LEFT(D1793, LEN(D1793)-1),6,2)&gt;12,216))))</f>
        <v>90</v>
      </c>
      <c r="E1808" s="195"/>
      <c r="F1808" s="8"/>
      <c r="G1808" s="8"/>
      <c r="H1808" s="102"/>
    </row>
    <row r="1809" spans="2:11" ht="12" customHeight="1">
      <c r="B1809" s="20"/>
      <c r="C1809" s="46"/>
      <c r="D1809" s="117"/>
      <c r="F1809" s="8"/>
      <c r="G1809" s="8"/>
      <c r="H1809" s="102"/>
    </row>
    <row r="1810" spans="2:11" ht="12" customHeight="1">
      <c r="B1810" s="15" t="str">
        <f>"■"&amp;MID(B1787,2,14)</f>
        <v>■本設：EHDアンカーHP工法</v>
      </c>
      <c r="C1810" s="3"/>
      <c r="D1810" s="1"/>
      <c r="E1810" s="1"/>
      <c r="F1810" s="8"/>
      <c r="G1810" s="8"/>
      <c r="H1810" s="102"/>
    </row>
    <row r="1811" spans="2:11" ht="12" customHeight="1">
      <c r="B1811" s="2" t="s">
        <v>17</v>
      </c>
      <c r="C1811" s="43"/>
      <c r="D1811" s="196" t="s">
        <v>148</v>
      </c>
      <c r="E1811" s="135"/>
      <c r="F1811" s="16"/>
      <c r="G1811" s="61" t="s">
        <v>42</v>
      </c>
      <c r="H1811" s="97"/>
      <c r="I1811" s="2" t="s">
        <v>21</v>
      </c>
      <c r="J1811" s="49" t="s">
        <v>149</v>
      </c>
      <c r="K1811" s="2" t="s">
        <v>28</v>
      </c>
    </row>
    <row r="1812" spans="2:11" ht="12" customHeight="1">
      <c r="B1812" s="197" t="s">
        <v>150</v>
      </c>
      <c r="C1812" s="198" t="str">
        <f>IF(OR(D1792=0,D1793="　"),"",D1793&amp;" ("&amp;MID(LEFT(D1793, LEN(D1793)-1),6,2)&amp;IF(MID(D1793,4,1)="5","φ12.7","φ15.2")&amp;")")</f>
        <v>EHD5-4H (4φ12.7)</v>
      </c>
      <c r="D1812" s="199"/>
      <c r="E1812" s="200"/>
      <c r="F1812" s="201" t="str">
        <f>"W=テンドン長×PC鋼より線本数×"&amp;IF(MID(D1793,4,1)="5","0.774","1.101")&amp;"kg/m"</f>
        <v>W=テンドン長×PC鋼より線本数×0.774kg/m</v>
      </c>
      <c r="G1812" s="202"/>
      <c r="H1812" s="203"/>
      <c r="I1812" s="204" t="s">
        <v>11</v>
      </c>
      <c r="J1812" s="205">
        <f>IF(OR(D1792=0,D1793="　"),"",MROUND(D1805*MID(LEFT(D1793, LEN(D1793)-1),6,2)*IF(MID(D1793,4,1)="5","0.774","1.101"),0.01))</f>
        <v>30.03</v>
      </c>
      <c r="K1812" s="205">
        <f>IFERROR(D1792*J1812,"")</f>
        <v>300.3</v>
      </c>
    </row>
    <row r="1813" spans="2:11" ht="12" customHeight="1">
      <c r="B1813" s="206" t="s">
        <v>151</v>
      </c>
      <c r="C1813" s="207"/>
      <c r="D1813" s="208"/>
      <c r="E1813" s="209"/>
      <c r="F1813" s="210" t="s">
        <v>33</v>
      </c>
      <c r="G1813" s="211"/>
      <c r="H1813" s="212"/>
      <c r="I1813" s="213" t="s">
        <v>12</v>
      </c>
      <c r="J1813" s="214">
        <f>IF(OR(D1792=0,D1793="　"),"",MROUND(D1805,0.1))</f>
        <v>9.7000000000000011</v>
      </c>
      <c r="K1813" s="214">
        <f>IFERROR(D1792*J1813,"")</f>
        <v>97.000000000000014</v>
      </c>
    </row>
    <row r="1814" spans="2:11" ht="12" customHeight="1">
      <c r="B1814" s="206" t="str">
        <f>"頭部キャップ"</f>
        <v>頭部キャップ</v>
      </c>
      <c r="C1814" s="207" t="str" cm="1">
        <f t="array" ref="C1814">IF(OR(D1792=0,D1793="　"),"",IF(MID(D1793,4,1)="5",_xlfn.SWITCH(1*MID(LEFT(D1793, LEN(D1793)-1),6,2),1,"S",2,"S",3,"S",4,"S",5,"M",6,"M",7,"M",8,"L",9,"L",10,"L",11,"L",12,"L"),_xlfn.SWITCH(1*MID(LEFT(D1793, LEN(D1793)-1),6,2),1,"S",2,"S",3,"M",4,"M",5,"L",6,"L",7,"L",8,"LL",9,"LL",10,"LL",11,"LL",12,"LL",13,"LL",14,"LL"))&amp;"型"&amp;D1795&amp;IF(OR(MID(D1795,1,2)="透明",MID(D1795,1,2)="5窓"),"、PC樹脂","")&amp;"、ｱﾙﾐAC4C相当"&amp;_xlfn.IFS(MID(D1794,1,3)="防食Ⅱ","",MID(D1794,5,2)="塩害","、防食：ﾀｹｺｰﾄ処理",MID(D1794,5,2)="酸性","、防食：重防食処理"))</f>
        <v>S型透明キャップ、PC樹脂、ｱﾙﾐAC4C相当</v>
      </c>
      <c r="D1814" s="215"/>
      <c r="E1814" s="216"/>
      <c r="F1814" s="217" t="str">
        <f t="shared" ref="F1814:F1820" si="71">"n=1"</f>
        <v>n=1</v>
      </c>
      <c r="G1814" s="218"/>
      <c r="H1814" s="219"/>
      <c r="I1814" s="213" t="s">
        <v>13</v>
      </c>
      <c r="J1814" s="220" t="str">
        <f>IF(OR(D1792=0,D1793="　"),"",MID(F1814,3,2))</f>
        <v>1</v>
      </c>
      <c r="K1814" s="214">
        <f>IFERROR(D1792*J1814,"")</f>
        <v>10</v>
      </c>
    </row>
    <row r="1815" spans="2:11" ht="12" customHeight="1">
      <c r="B1815" s="206" t="s">
        <v>5</v>
      </c>
      <c r="C1815" s="207" t="str" cm="1">
        <f t="array" ref="C1815">IF(OR(D1792=0,D1793="　"),"",IF(MID(D1793,4,1)="5","G5"&amp;_xlfn.SWITCH(1*MID(LEFT(D1793, LEN(D1793)-1),6,2),1,"01",2,"02",3,"03",4,"04",5,"07",6,"07",7,"07",8,"09",9,"09",10,"12",11,"12",12,"12"),"G6"&amp;_xlfn.SWITCH(1*MID(LEFT(D1793, LEN(D1793)-1),6,2),1,"01",2,"02",3,"03",4,"04",5,"07",6,"07",7,"07",8,"09",9,"09",10,"12",11,"12",12,"12",13,"14",14,"14"))&amp;"、S45C相当"&amp;IF(MID(D1795,1,3)&lt;&gt;"アルミ","、防食：無電解Niめっき",""))</f>
        <v>G504、S45C相当、防食：無電解Niめっき</v>
      </c>
      <c r="D1815" s="208"/>
      <c r="E1815" s="209"/>
      <c r="F1815" s="217" t="str">
        <f t="shared" si="71"/>
        <v>n=1</v>
      </c>
      <c r="G1815" s="218"/>
      <c r="H1815" s="219"/>
      <c r="I1815" s="213" t="s">
        <v>13</v>
      </c>
      <c r="J1815" s="220" t="str">
        <f>IF(OR(D1792=0,D1793="　"),"",MID(F1815,3,2))</f>
        <v>1</v>
      </c>
      <c r="K1815" s="214">
        <f>IFERROR(D1792*J1815,"")</f>
        <v>10</v>
      </c>
    </row>
    <row r="1816" spans="2:11" ht="12" customHeight="1">
      <c r="B1816" s="206" t="s">
        <v>152</v>
      </c>
      <c r="C1816" s="207" t="str" cm="1">
        <f t="array" ref="C1816">IF(OR(D1792=0,D1793="　"),"",IF(MID(D1793,4,1)="5","G5"&amp;_xlfn.SWITCH(1*MID(LEFT(D1793, LEN(D1793)-1),6,2),1,"01",2,"02",3,"03",4,"04",5,"07",6,"07",7,"07",8,"09",9,"09",10,"12",11,"12",12,"12"),"G6"&amp;_xlfn.SWITCH(1*MID(LEFT(D1793, LEN(D1793)-1),6,2),1,"01",2,"02",3,"03",4,"04",5,"07",6,"07",7,"07",8,"09",9,"09",10,"12",11,"12",12,"12",13,"14",14,"14"))&amp;"、S45C相当"&amp;IF(MID(D1795,1,3)&lt;&gt;"アルミ","、防食：無電解Niめっき",""))</f>
        <v>G504、S45C相当、防食：無電解Niめっき</v>
      </c>
      <c r="D1816" s="208"/>
      <c r="E1816" s="209"/>
      <c r="F1816" s="217" t="str">
        <f t="shared" si="71"/>
        <v>n=1</v>
      </c>
      <c r="G1816" s="218"/>
      <c r="H1816" s="219"/>
      <c r="I1816" s="213" t="s">
        <v>13</v>
      </c>
      <c r="J1816" s="220" t="str">
        <f>IF(OR(D1792=0,D1793="　"),"",MID(F1816,3,2))</f>
        <v>1</v>
      </c>
      <c r="K1816" s="214">
        <f>IFERROR(D1792*J1816,"")</f>
        <v>10</v>
      </c>
    </row>
    <row r="1817" spans="2:11" ht="12" customHeight="1">
      <c r="B1817" s="206" t="s">
        <v>7</v>
      </c>
      <c r="C1817" s="207" t="str">
        <f>IF(OR(D1792=0,D1793="　"),"",IF(1*MID(D1793,4,1)=5,"ECF12.7","ECF15.2")&amp;"、SCM415相当"&amp;IF(MID(D1795,1,3)&lt;&gt;"アルミ","、防食：無電解Niめっき",""))</f>
        <v>ECF12.7、SCM415相当、防食：無電解Niめっき</v>
      </c>
      <c r="D1817" s="208"/>
      <c r="E1817" s="209"/>
      <c r="F1817" s="217" t="str">
        <f t="shared" si="71"/>
        <v>n=1</v>
      </c>
      <c r="G1817" s="218"/>
      <c r="H1817" s="219"/>
      <c r="I1817" s="213" t="s">
        <v>27</v>
      </c>
      <c r="J1817" s="220" t="str">
        <f>IF(OR(D1792=0,D1793="　"),"",MID(F1817,3,2))</f>
        <v>1</v>
      </c>
      <c r="K1817" s="214">
        <f>IFERROR(D1792*J1817,"")</f>
        <v>10</v>
      </c>
    </row>
    <row r="1818" spans="2:11" ht="12" customHeight="1">
      <c r="B1818" s="206" t="s">
        <v>153</v>
      </c>
      <c r="C1818" s="207" t="str" cm="1">
        <f t="array" ref="C1818">IF(OR(D1792=0,D1793="　"),"",IF(MID(D1793,4,1)="5","G5"&amp;_xlfn.SWITCH(1*MID(LEFT(D1793, LEN(D1793)-1),6,2),1,"01",2,"04",3,"03",4,"04",5,"07",6,"07",7,"07",8,"12",9,"12",10,"12",11,"12",12,"12"),"G6"&amp;_xlfn.SWITCH(1*MID(LEFT(D1793, LEN(D1793)-1),6,2),1,"01",2,"02",3,"03",4,"04",5,"07",6,"07",7,"07",8,"12",9,"12",10,"12",11,"12",12,"12",13,"14",14,"14"))&amp;"、SS400相当、防食："&amp;_xlfn.IFS(MID(D1794,1,3)="防食Ⅱ","HDZT77めっき",MID(D1794,5,2)="塩害","ｱﾙﾐﾅｲｽﾞ処理",MID(D1794,5,2)="酸性","重防食処理"))</f>
        <v>G504、SS400相当、防食：HDZT77めっき</v>
      </c>
      <c r="D1818" s="208"/>
      <c r="E1818" s="209"/>
      <c r="F1818" s="217" t="str">
        <f t="shared" si="71"/>
        <v>n=1</v>
      </c>
      <c r="G1818" s="218"/>
      <c r="H1818" s="219"/>
      <c r="I1818" s="213" t="s">
        <v>16</v>
      </c>
      <c r="J1818" s="220" t="str">
        <f>IF(OR(D1792=0,D1793="　"),"",MID(F1818,3,2))</f>
        <v>1</v>
      </c>
      <c r="K1818" s="214">
        <f>IFERROR(D1792*J1818,"")</f>
        <v>10</v>
      </c>
    </row>
    <row r="1819" spans="2:11" ht="12" customHeight="1">
      <c r="B1819" s="206" t="str">
        <f>IF(MID(D1796,1,3)="のり面","管付","")&amp;"支圧板"</f>
        <v>管付支圧板</v>
      </c>
      <c r="C1819" s="221" t="str" cm="1">
        <f t="array" ref="C1819">IF(OR(D1792=0,D1793="　"),"","PL"&amp;IF(MID(D1796,1,3)="のり面","P","")&amp;IF(MID(D1793,4,1)="5","5-"&amp;_xlfn.SWITCH(1*MID(LEFT(D1793, LEN(D1793)-1),6,2),1,"1",2,"2",3,"3",4,"4",5,"5",6,"6",7,"7",8,"9",9,"9",10,"10",11,"11",12,"12"),"6-"&amp;_xlfn.SWITCH(1*MID(LEFT(D1793, LEN(D1793)-1),6,2),1,"1",2,"2",3,"3",4,"4",5,"6",6,"6",7,"7",8,"8",9,"9",10,"10",11,"11",12,"12",13,"14",14,"14"))&amp;"、SS400相当、防食："&amp;_xlfn.IFS(MID(D1794,1,3)="防食Ⅱ","HDZT77めっき",MID(D1794,5,2)="塩害","ｱﾙﾐﾅｲｽﾞ処理",MID(D1794,5,2)="酸性","重防食処理"))</f>
        <v>PLP5-4、SS400相当、防食：HDZT77めっき</v>
      </c>
      <c r="D1819" s="208"/>
      <c r="E1819" s="209"/>
      <c r="F1819" s="217" t="str">
        <f t="shared" si="71"/>
        <v>n=1</v>
      </c>
      <c r="G1819" s="218"/>
      <c r="H1819" s="219"/>
      <c r="I1819" s="213" t="s">
        <v>16</v>
      </c>
      <c r="J1819" s="220" t="str">
        <f>IF(OR(D1792=0,D1793="　"),"",MID(F1819,3,2))</f>
        <v>1</v>
      </c>
      <c r="K1819" s="214">
        <f>IFERROR(D1792*J1819,"")</f>
        <v>10</v>
      </c>
    </row>
    <row r="1820" spans="2:11" ht="12" customHeight="1">
      <c r="B1820" s="206" t="s">
        <v>154</v>
      </c>
      <c r="C1820" s="207" t="str">
        <f>IF(OR(D1792=0,D1793="　"),"","G"&amp;MID(LEFT(D1793, LEN(D1793)-1),4,4)&amp;"、NBR45相当")</f>
        <v>G5-4、NBR45相当</v>
      </c>
      <c r="D1820" s="208"/>
      <c r="E1820" s="209"/>
      <c r="F1820" s="217" t="str">
        <f t="shared" si="71"/>
        <v>n=1</v>
      </c>
      <c r="G1820" s="218"/>
      <c r="H1820" s="219"/>
      <c r="I1820" s="213" t="s">
        <v>13</v>
      </c>
      <c r="J1820" s="220" t="str">
        <f>IF(OR(D1792=0,D1793="　"),"",MID(F1820,3,2))</f>
        <v>1</v>
      </c>
      <c r="K1820" s="214">
        <f>IFERROR(D1792*J1820,"")</f>
        <v>10</v>
      </c>
    </row>
    <row r="1821" spans="2:11" ht="12" customHeight="1">
      <c r="B1821" s="206" t="str" cm="1">
        <f t="array" ref="B1821">_xlfn.IFS(OR(D1792=0,D1793="　"),"",MID(D1795,1,3)="アルミ","頭部防錆油",MID(D1795,1,3)&lt;&gt;"アルミ","余長キャップ")</f>
        <v>余長キャップ</v>
      </c>
      <c r="C1821" s="221" t="str" cm="1">
        <f t="array" ref="C1821">_xlfn.IFS(OR(D1792=0,D1793="　"),"",MID(D1795,1,3)="アルミ","PCコートC",MID(D1795,1,3)&lt;&gt;"アルミ","TC"&amp;MID(D1793,4,1)&amp;"、高密度ポチエチレン")</f>
        <v>TC5、高密度ポチエチレン</v>
      </c>
      <c r="D1821" s="208"/>
      <c r="E1821" s="209"/>
      <c r="F1821" s="217" t="str" cm="1">
        <f t="array" ref="F1821">_xlfn.IFS(OR(D1792=0,D1793="　"),"",MID(D1795,1,3)="アルミ","W="&amp;IF(MID(D1793,4,1)="5",_xlfn.SWITCH(1*MID(LEFT(D1793, LEN(D1793)-1),6,2),1,1.9,2,1.3,3,1.3,4,1.3,5,1.6,6,1.6,7,1.6,8,3.1,9,3.1,10,3.1,11,3.1,12,3.1),"G6"&amp;_xlfn.SWITCH(1*MID(LEFT(D1793, LEN(D1793)-1),6,2),1,1.8,2,1.3,3,1.8,4,1.8,5,3.3,6,3.3,7,3.3,8,9.9,9,9.9,10,9.9,11,9.9,12,9.9,13,9.9,14,9.9)),MID(D1795,1,3)&lt;&gt;"アルミ","n=1")</f>
        <v>n=1</v>
      </c>
      <c r="G1821" s="218"/>
      <c r="H1821" s="219"/>
      <c r="I1821" s="213" t="str" cm="1">
        <f t="array" ref="I1821">_xlfn.IFS(OR(D1792=0,D1793="　"),"",MID(D1795,1,3)="アルミ","kg",MID(D1795,1,3)&lt;&gt;"アルミ","式")</f>
        <v>式</v>
      </c>
      <c r="J1821" s="220" t="str">
        <f>IF(OR(D1792=0,D1793="　"),"",MID(F1821,3,4))</f>
        <v>1</v>
      </c>
      <c r="K1821" s="214">
        <f>IFERROR(D1792*J1821,"")</f>
        <v>10</v>
      </c>
    </row>
    <row r="1822" spans="2:11" ht="12" customHeight="1">
      <c r="B1822" s="206" t="s">
        <v>9</v>
      </c>
      <c r="C1822" s="207" t="str" cm="1">
        <f t="array" ref="C1822">IF(OR(D1792=0,D1793="　"),"",IF(MID(D1793,4,1)="5","PS5-"&amp;_xlfn.SWITCH(1*MID(LEFT(D1793, LEN(D1793)-1),6,2),1,"7",2,"2",3,"3",4,"4",5,"7",6,"7",7,"7",8,"12",9,"12",10,"12",11,"12",12,"12"),"PS6-"&amp;_xlfn.SWITCH(1*MID(LEFT(D1793, LEN(D1793)-1),6,2),1,"7",2,"2",3,"3",4,"4",5,"7",6,"7",7,"7",8,"12",9,"12",10,"12",11,"12",12,"12",13,"14",14,"14"))&amp;"、高密度ポリエチレン")</f>
        <v>PS5-4、高密度ポリエチレン</v>
      </c>
      <c r="D1822" s="208"/>
      <c r="E1822" s="209"/>
      <c r="F1822" s="217" t="str">
        <f>"n=2"</f>
        <v>n=2</v>
      </c>
      <c r="G1822" s="218"/>
      <c r="H1822" s="219"/>
      <c r="I1822" s="213" t="s">
        <v>13</v>
      </c>
      <c r="J1822" s="220" t="str">
        <f>IF(OR(D1792=0,D1793="　"),"",MID(F1822,3,2))</f>
        <v>2</v>
      </c>
      <c r="K1822" s="214">
        <f>IFERROR(D1792*J1822,"")</f>
        <v>20</v>
      </c>
    </row>
    <row r="1823" spans="2:11" ht="12" customHeight="1">
      <c r="B1823" s="206" t="s">
        <v>2</v>
      </c>
      <c r="C1823" s="207" t="str" cm="1">
        <f t="array" ref="C1823">IF(OR(D1792=0,D1793="　"),"",IF(MID(D1793,4,1)="5","S5-"&amp;_xlfn.IFS(1*MID(LEFT(D1793, LEN(D1793)-1),6,2)&lt;6,"5",1*MID(LEFT(D1793, LEN(D1793)-1),6,2)&lt;9,"8",1*MID(LEFT(D1793, LEN(D1793)-1),6,2)&gt;8,"12"),"S6-"&amp;_xlfn.IFS(1*MID(LEFT(D1793, LEN(D1793)-1),6,2)&lt;4,"3",1*MID(LEFT(D1793, LEN(D1793)-1),6,2)&lt;7,"6",1*MID(LEFT(D1793, LEN(D1793)-1),6,2)&lt;10,"9",1*MID(LEFT(D1793, LEN(D1793)-1),6,2)&lt;13,"12",1*MID(LEFT(D1793, LEN(D1793)-1),6,2)&gt;12,"14"))&amp;"、ポリプロピレン")</f>
        <v>S5-5、ポリプロピレン</v>
      </c>
      <c r="D1823" s="208"/>
      <c r="E1823" s="209"/>
      <c r="F1823" s="222" t="s">
        <v>155</v>
      </c>
      <c r="G1823" s="211"/>
      <c r="H1823" s="212"/>
      <c r="I1823" s="213" t="s">
        <v>13</v>
      </c>
      <c r="J1823" s="206">
        <f>IF(OR(D1792=0,D1793="　"),"",MROUND((D1801-0.4)/1,1))</f>
        <v>4</v>
      </c>
      <c r="K1823" s="214">
        <f>IFERROR(D1792*J1823,"")</f>
        <v>40</v>
      </c>
    </row>
    <row r="1824" spans="2:11" ht="12" customHeight="1">
      <c r="B1824" s="206" t="s">
        <v>1</v>
      </c>
      <c r="C1824" s="207" t="str" cm="1">
        <f t="array" ref="C1824">IF(OR(D1792=0,D1793="　"),"",IF(MID(D1793,4,1)="5","PC5-"&amp;_xlfn.IFS(1*MID(LEFT(D1793, LEN(D1793)-1),6,2)&lt;5,"4",1*MID(LEFT(D1793, LEN(D1793)-1),6,2)&lt;8,"7",1*MID(LEFT(D1793, LEN(D1793)-1),6,2)&lt;10,"9",1*MID(LEFT(D1793, LEN(D1793)-1),6,2)&gt;9,"12"),"PC6-"&amp;_xlfn.IFS(1*MID(LEFT(D1793, LEN(D1793)-1),6,2)&lt;4,"3",1*MID(LEFT(D1793, LEN(D1793)-1),6,2)&lt;8,"7",1*MID(LEFT(D1793, LEN(D1793)-1),6,2)&lt;13,"12",1*MID(LEFT(D1793, LEN(D1793)-1),6,2)&gt;12,"14"))&amp;"、ポリプロピレン")</f>
        <v>PC5-4、ポリプロピレン</v>
      </c>
      <c r="D1824" s="208"/>
      <c r="E1824" s="209"/>
      <c r="F1824" s="217" t="str">
        <f>"n=1"</f>
        <v>n=1</v>
      </c>
      <c r="G1824" s="218"/>
      <c r="H1824" s="219"/>
      <c r="I1824" s="213" t="s">
        <v>13</v>
      </c>
      <c r="J1824" s="220" t="str">
        <f>IF(OR(D1792=0,D1793="　"),"",MID(F1824,3,2))</f>
        <v>1</v>
      </c>
      <c r="K1824" s="214">
        <f>IFERROR(D1792*J1824,"")</f>
        <v>10</v>
      </c>
    </row>
    <row r="1825" spans="2:11" ht="12" customHeight="1">
      <c r="B1825" s="206" t="s">
        <v>3</v>
      </c>
      <c r="C1825" s="207" t="str">
        <f>IF(OR(D1792=0,D1793="　"),"","66ナイロン")</f>
        <v>66ナイロン</v>
      </c>
      <c r="D1825" s="208"/>
      <c r="E1825" s="209"/>
      <c r="F1825" s="222" t="s">
        <v>156</v>
      </c>
      <c r="G1825" s="211"/>
      <c r="H1825" s="212"/>
      <c r="I1825" s="213" t="s">
        <v>14</v>
      </c>
      <c r="J1825" s="206">
        <f>IF(OR(D1792=0,D1793="　"),"",2*J1823)</f>
        <v>8</v>
      </c>
      <c r="K1825" s="214">
        <f>IFERROR(D1792*J1825,"")</f>
        <v>80</v>
      </c>
    </row>
    <row r="1826" spans="2:11" ht="12" customHeight="1">
      <c r="B1826" s="206" t="s">
        <v>4</v>
      </c>
      <c r="C1826" s="207" t="str">
        <f>IF(OR(D1792=0,D1793="　"),"","フィラメントテープ")</f>
        <v>フィラメントテープ</v>
      </c>
      <c r="D1826" s="208"/>
      <c r="E1826" s="209"/>
      <c r="F1826" s="222" t="str">
        <f>IF(OR(D1792=0,D1793="　"),"","L=((自由長+緊張部長)÷@1.0m)×テープ係数"&amp;IF(MID(D1793,4,1)="5",_xlfn.IFS(1*MID(LEFT(D1793, LEN(D1793)-1),6,2)&lt;4,"0.8",1*MID(LEFT(D1793, LEN(D1793)-1),6,2)&lt;7,"1.0",1*MID(LEFT(D1793, LEN(D1793)-1),6,2)&lt;10,"1.2",1*MID(LEFT(D1793, LEN(D1793)-1),6,2)&lt;13,"1.4"),_xlfn.IFS(1*MID(LEFT(D1793, LEN(D1793)-1),6,2)&lt;4,"1.0",1*MID(LEFT(D1793, LEN(D1793)-1),6,2)&lt;7,"1.2",1*MID(LEFT(D1793, LEN(D1793)-1),6,2)&lt;10,"1.4",1*MID(LEFT(D1793, LEN(D1793)-1),6,2)&lt;15,"1.8")))</f>
        <v>L=((自由長+緊張部長)÷@1.0m)×テープ係数1.0</v>
      </c>
      <c r="G1826" s="211"/>
      <c r="H1826" s="212"/>
      <c r="I1826" s="213" t="s">
        <v>12</v>
      </c>
      <c r="J1826" s="223">
        <f>IF(OR(D1792=0,D1793="　"),"",MROUND((SUM(D1802,D1803))/1*RIGHT(F1826, 3),0.1))</f>
        <v>5.5</v>
      </c>
      <c r="K1826" s="214">
        <f>IFERROR(D1792*J1826,"")</f>
        <v>55</v>
      </c>
    </row>
    <row r="1827" spans="2:11" ht="12" customHeight="1">
      <c r="B1827" s="206" t="s">
        <v>0</v>
      </c>
      <c r="C1827" s="207" t="str">
        <f>IF(OR(D1792=0,D1793="　"),"","16/20、高密度ポリエチレン")</f>
        <v>16/20、高密度ポリエチレン</v>
      </c>
      <c r="D1827" s="208"/>
      <c r="E1827" s="209"/>
      <c r="F1827" s="210" t="s">
        <v>33</v>
      </c>
      <c r="G1827" s="211"/>
      <c r="H1827" s="212"/>
      <c r="I1827" s="213" t="s">
        <v>12</v>
      </c>
      <c r="J1827" s="214">
        <f>IF(OR(D1792=0,D1793="　"),"",MROUND(D1805,0.1))</f>
        <v>9.7000000000000011</v>
      </c>
      <c r="K1827" s="214">
        <f>IFERROR(D1792*J1827,"")</f>
        <v>97.000000000000014</v>
      </c>
    </row>
    <row r="1828" spans="2:11" ht="12" customHeight="1">
      <c r="B1828" s="206" t="str" cm="1">
        <f t="array" ref="B1828">_xlfn.IFS(OR(D1792=0,D1793="　",MID(D1796,1,2)="なし",MID(D1796,1,3)="受圧体"),"",MID(D1796,1,3)="のり面","のり面角度台座",MID(D1796,1,3)="構造物","構造物壁面台座",MID(D1796,1,3)="土留め","土留め台座")</f>
        <v>のり面角度台座</v>
      </c>
      <c r="C1828" s="210" t="str" cm="1">
        <f t="array" ref="C1828">IF(OR(D1792=0,D1793="　",MID(D1796,1,2)="なし",MID(D1796,1,3)="受圧体"),"",_xlfn.IFS(MID(D1796,1,3)="のり面",IF(1*MID(D1793,4,1)=5,_xlfn.IFS(1*MID(LEFT(D1793, LEN(D1793)-1),6,2)&lt;5,"ST140",1*MID(LEFT(D1793, LEN(D1793)-1),6,2)&lt;8,"ST170",1*MID(LEFT(D1793, LEN(D1793)-1),6,2)&lt;13,"ST220"),_xlfn.IFS(1*MID(LEFT(D1793, LEN(D1793)-1),6,2)&lt;4,"ST140",1*MID(LEFT(D1793, LEN(D1793)-1),6,2)&lt;5,"ST170",1*MID(LEFT(D1793, LEN(D1793)-1),6,2)&lt;8,"ST220",1*MID(LEFT(D1793, LEN(D1793)-1),6,2)&lt;15,"非該当"))&amp;"、FCD450相当、防食："&amp;_xlfn.IFS(MID(D1794,1,3)="防食Ⅱ","HDZT77めっき",MID(D1794,5,2)="塩害","ｱﾙﾐﾅｲｽﾞ処理",MID(D1794,5,2)="酸性","重防食処理"),OR(MID(D1796,1,3)="構造物",MID(D1796,1,3)="土留め"),D1793&amp;"用"&amp;IF(OR(MID(D1796,1,3)="構造物",D1797="　"),"",D1797)&amp;"、防食："&amp;_xlfn.IFS(MID(D1794,1,3)="防食Ⅱ","HDZT77めっき",MID(D1794,5,2)="塩害","ｱﾙﾐﾅｲｽﾞ処理",MID(D1794,5,2)="酸性","重防食処理")))</f>
        <v>ST140、FCD450相当、防食：HDZT77めっき</v>
      </c>
      <c r="D1828" s="208"/>
      <c r="E1828" s="209"/>
      <c r="F1828" s="217" t="str">
        <f>IF(OR(D1796="なし",D1796="受圧体のみ"),"","n=1")</f>
        <v>n=1</v>
      </c>
      <c r="G1828" s="218"/>
      <c r="H1828" s="219"/>
      <c r="I1828" s="213" t="str">
        <f>IF(OR(D1792=0,D1793="　",B1828=""),"","台")</f>
        <v>台</v>
      </c>
      <c r="J1828" s="220" t="str">
        <f>IF(OR(D1792=0,D1793="　"),"",MID(F1828,3,2))</f>
        <v>1</v>
      </c>
      <c r="K1828" s="214">
        <f>IFERROR(D1792*J1828,"")</f>
        <v>10</v>
      </c>
    </row>
    <row r="1829" spans="2:11" ht="12" customHeight="1">
      <c r="B1829" s="206" t="str">
        <f>IF(OR(D1792=0,D1793="　",MID(D1796,1,3)&lt;&gt;"のり面"),"","補剛板")</f>
        <v>補剛板</v>
      </c>
      <c r="C1829" s="210" t="str" cm="1">
        <f t="array" ref="C1829">IF(OR(D1792=0,D1793="　",MID(D1796,1,3)&lt;&gt;"のり面"),"",IF(MID(D1793,4,1)="5","□"&amp;_xlfn.SWITCH(1*MID(LEFT(D1793, LEN(D1793)-1),6,2),1,"210φ131t12",2,"210φ131t12",3,"240φ131t12",4,"270φ131t12",5,"280φ143t12",6,"310φ143t16",7,"350φ143t19",8,"350φ180t19",9,"350φ180t19",10,"350φ180t19",11,"350φ180t22",12,"350φ180t22"),"□"&amp;_xlfn.SWITCH(1*MID(LEFT(D1793, LEN(D1793)-1),6,2),1,"210,φ131,t12",2,"240,φ131,t12",3,"270,φ131,t16",4,"300,φ143,t16",5,"350,φ180,t16",6,"350,φ180,t16",7,"350,φ180,t19",8,"400,φ──,t12",9,"400,φ──,t12",10,"400,φ──,t12",11,"400,φ──,t12",12,"400,φ──,t12",13,"400,φ──,t12",14,"400,φ──,t12"))&amp;"、SS400相当、防食："&amp;_xlfn.IFS(MID(D1794,1,3)="防食Ⅱ","HDZT77めっき",MID(D1794,5,2)="塩害","ｱﾙﾐﾅｲｽﾞ処理",MID(D1794,5,2)="酸性","重防食処理"))</f>
        <v>□270φ131t12、SS400相当、防食：HDZT77めっき</v>
      </c>
      <c r="D1829" s="208"/>
      <c r="E1829" s="209"/>
      <c r="F1829" s="217" t="str">
        <f>IF(OR(D1792=0,D1793="　",MID(D1796,1,3)&lt;&gt;"のり面"),"","n=1")</f>
        <v>n=1</v>
      </c>
      <c r="G1829" s="218"/>
      <c r="H1829" s="219"/>
      <c r="I1829" s="213" t="str">
        <f>IF(OR(D1792=0,D1793="　",B1829="",MID(D1796,1,3)&lt;&gt;"のり面"),"","枚")</f>
        <v>枚</v>
      </c>
      <c r="J1829" s="220" t="str">
        <f>IF(OR(D1792=0,D1793="　"),"",MID(F1829,3,2))</f>
        <v>1</v>
      </c>
      <c r="K1829" s="214">
        <f>IFERROR(D1792*J1829,"")</f>
        <v>10</v>
      </c>
    </row>
    <row r="1830" spans="2:11" ht="12" customHeight="1">
      <c r="B1830" s="206" t="str" cm="1">
        <f t="array" ref="B1830">_xlfn.IFS(OR(D1792=0,D1793="　"),"",MID(D1795,1,3)="アルミ","",MID(D1795,1,3)&lt;&gt;"アルミ","テンドン補修用塗料")</f>
        <v>テンドン補修用塗料</v>
      </c>
      <c r="C1830" s="210" t="str" cm="1">
        <f t="array" ref="C1830">_xlfn.IFS(OR(D1792=0,D1793="　"),"",MID(D1795,1,3)="アルミ","",MID(D1795,1,3)&lt;&gt;"アルミ","エポキシ樹脂")</f>
        <v>エポキシ樹脂</v>
      </c>
      <c r="D1830" s="208"/>
      <c r="E1830" s="209"/>
      <c r="F1830" s="217" t="str" cm="1">
        <f t="array" ref="F1830">_xlfn.IFS(OR(D1792=0,D1793="　"),"",MID(D1795,1,3)="アルミ","",MID(D1795,1,3)&lt;&gt;"アルミ","W=PC鋼より線本数×"&amp;IF(MID(D1793,4,1)="5","0.28","0.40"))</f>
        <v>W=PC鋼より線本数×0.28</v>
      </c>
      <c r="G1830" s="218"/>
      <c r="H1830" s="219"/>
      <c r="I1830" s="213" t="str" cm="1">
        <f t="array" ref="I1830">_xlfn.IFS(OR(D1792=0,D1793="　"),"",MID(D1795,1,3)="アルミ","",MID(D1795,1,3)&lt;&gt;"アルミ","g")</f>
        <v>g</v>
      </c>
      <c r="J1830" s="224" cm="1">
        <f t="array" ref="J1830">_xlfn.IFS(OR(D1792=0,D1793="　"),"",MID(D1795,1,3)="アルミ","",MID(D1795,1,3)&lt;&gt;"アルミ",MID(LEFT(D1793, LEN(D1793)-1),6,2)*IF(MID(D1793,4,1)="5",0.28,0.4))</f>
        <v>1.1200000000000001</v>
      </c>
      <c r="K1830" s="214">
        <f>IFERROR(D1792*J1830,"")</f>
        <v>11.200000000000001</v>
      </c>
    </row>
    <row r="1831" spans="2:11" ht="12" customHeight="1">
      <c r="B1831" s="206" t="str" cm="1">
        <f t="array" ref="B1831">_xlfn.IFS(OR(D1792=0,D1793="　"),"",MID(D1795,1,3)="アルミ","",MID(D1795,1,3)&lt;&gt;"アルミ","長期防錆スプレー")</f>
        <v>長期防錆スプレー</v>
      </c>
      <c r="C1831" s="210" t="str" cm="1">
        <f t="array" ref="C1831">_xlfn.IFS(OR(D1792=0,D1793="　"),"",MID(D1795,1,3)="アルミ","",MID(D1795,1,3)&lt;&gt;"アルミ","防錆オイル")</f>
        <v>防錆オイル</v>
      </c>
      <c r="D1831" s="208"/>
      <c r="E1831" s="209"/>
      <c r="F1831" s="217" t="str" cm="1">
        <f t="array" ref="F1831">_xlfn.IFS(OR(D1792=0,D1793="　"),"",MID(D1795,1,3)="アルミ","",MID(D1795,1,3)&lt;&gt;"アルミ","n=0.01×(PC鋼より線本数+"&amp;IF(MID(D1793,4,1)="5","6","12")&amp;")")</f>
        <v>n=0.01×(PC鋼より線本数+6)</v>
      </c>
      <c r="G1831" s="218"/>
      <c r="H1831" s="219"/>
      <c r="I1831" s="213" t="str" cm="1">
        <f t="array" ref="I1831">_xlfn.IFS(OR(D1792=0,D1793="　"),"",MID(D1795,1,3)="アルミ","",MID(D1795,1,3)&lt;&gt;"アルミ","缶")</f>
        <v>缶</v>
      </c>
      <c r="J1831" s="224" cm="1">
        <f t="array" ref="J1831">_xlfn.IFS(OR(D1792=0,D1793="　"),"",MID(D1795,1,3)="アルミ","",MID(D1795,1,3)&lt;&gt;"アルミ",0.01*(MID(LEFT(D1793, LEN(D1793)-1),6,2)+IF(MID(D1793,4,1)="5",6,12)))</f>
        <v>0.1</v>
      </c>
      <c r="K1831" s="214">
        <f>IFERROR(D1792*J1831,"")</f>
        <v>1</v>
      </c>
    </row>
    <row r="1832" spans="2:11" ht="12" customHeight="1">
      <c r="B1832" s="206" t="str">
        <f>IF(OR(D1792=0,D1793="　",D1798="なし"),"","フリーパッカー注入ホース")</f>
        <v/>
      </c>
      <c r="C1832" s="207" t="str">
        <f>IF(OR(D1792=0,D1793="　",B1832=""),"","16/20、高密度ポリエチレン")</f>
        <v/>
      </c>
      <c r="D1832" s="208"/>
      <c r="E1832" s="209"/>
      <c r="F1832" s="210" t="str">
        <f>IF(B1832="","","L=自由長+緊張部長")</f>
        <v/>
      </c>
      <c r="G1832" s="211"/>
      <c r="H1832" s="212"/>
      <c r="I1832" s="213" t="str">
        <f>IF(OR(D1792=0,D1793="　",B1832=""),"","m")</f>
        <v/>
      </c>
      <c r="J1832" s="214" t="str">
        <f>IF(OR(D1792=0,D1793="　"),"",IF(B1832="","",MROUND(D1802+D1803,0.1)))</f>
        <v/>
      </c>
      <c r="K1832" s="214" t="str">
        <f>IFERROR(D1792*J1832,"")</f>
        <v/>
      </c>
    </row>
    <row r="1833" spans="2:11" ht="12" customHeight="1">
      <c r="B1833" s="225" t="str">
        <f>IF(OR(D1792=0,D1793="　",D1798="なし"),"","フリーパッカー")</f>
        <v/>
      </c>
      <c r="C1833" s="217" t="str" cm="1">
        <f t="array" ref="C1833">IF(OR(D1792=0,D1793="　",B1832=""),"",_xlfn.SWITCH(D1807,90,"PA-170",115,"PA-200",135,"PA-240",146,"PA-240",165,"PA-350")&amp;"、織布")</f>
        <v/>
      </c>
      <c r="D1833" s="208"/>
      <c r="E1833" s="209"/>
      <c r="F1833" s="226" t="str">
        <f>IF(B1833="","","L=自由長+0.5m")</f>
        <v/>
      </c>
      <c r="G1833" s="227"/>
      <c r="H1833" s="228"/>
      <c r="I1833" s="213" t="str">
        <f>IF(OR(D1793=0,D1794="　",B1833=""),"","m")</f>
        <v/>
      </c>
      <c r="J1833" s="214" t="str">
        <f>IF(OR(D1792=0,D1793="　"),"",IF(B1833="","",MROUND(D1802+0.5,0.1)))</f>
        <v/>
      </c>
      <c r="K1833" s="214" t="str">
        <f>IFERROR(D1792*J1833,"")</f>
        <v/>
      </c>
    </row>
    <row r="1834" spans="2:11" ht="12" customHeight="1">
      <c r="B1834" s="206" t="str">
        <f>IF(OR(D1792=0,D1793="　",D1798="なし"),"","パッカー取付加工")</f>
        <v/>
      </c>
      <c r="C1834" s="207"/>
      <c r="D1834" s="208"/>
      <c r="E1834" s="209"/>
      <c r="F1834" s="217" t="str">
        <f>IF(B1834="","","n=1")</f>
        <v/>
      </c>
      <c r="G1834" s="218"/>
      <c r="H1834" s="219"/>
      <c r="I1834" s="213" t="str">
        <f>IF(OR(D1794=0,D1795="　",B1834=""),"","式")</f>
        <v/>
      </c>
      <c r="J1834" s="220" t="str">
        <f>IF(OR(D1792=0,D1793="　"),"",MID(F1834,3,2))</f>
        <v/>
      </c>
      <c r="K1834" s="206" t="str">
        <f>IFERROR(D1792*J1834,"")</f>
        <v/>
      </c>
    </row>
    <row r="1835" spans="2:11" ht="12" customHeight="1">
      <c r="B1835" s="229"/>
      <c r="C1835" s="230"/>
      <c r="D1835" s="231"/>
      <c r="E1835" s="232"/>
      <c r="F1835" s="233"/>
      <c r="G1835" s="234"/>
      <c r="H1835" s="235"/>
      <c r="I1835" s="236"/>
      <c r="J1835" s="237"/>
      <c r="K1835" s="229"/>
    </row>
    <row r="1836" spans="2:11" ht="12" customHeight="1">
      <c r="B1836" s="238" t="s">
        <v>30</v>
      </c>
      <c r="C1836" s="239" t="s">
        <v>31</v>
      </c>
      <c r="D1836" s="240"/>
      <c r="E1836" s="241"/>
      <c r="F1836" s="242" t="s">
        <v>157</v>
      </c>
      <c r="G1836" s="243"/>
      <c r="H1836" s="244"/>
      <c r="I1836" s="245" t="s">
        <v>55</v>
      </c>
      <c r="J1836" s="246">
        <f>IFERROR(MROUND(0.25*PI()*(0.001*D1807)^2*(D1800+D1801+D1806)*(1+2.2),0.01),"")</f>
        <v>0.17</v>
      </c>
      <c r="K1836" s="246">
        <f>IFERROR(D1792*J1836,"")</f>
        <v>1.7000000000000002</v>
      </c>
    </row>
    <row r="1838" spans="2:11" ht="12" customHeight="1">
      <c r="B1838" s="247" t="s">
        <v>136</v>
      </c>
      <c r="C1838" s="247"/>
      <c r="D1838" s="247"/>
      <c r="F1838" s="163"/>
      <c r="G1838" s="164"/>
      <c r="H1838" s="164"/>
    </row>
    <row r="1839" spans="2:11" ht="12" customHeight="1">
      <c r="B1839" s="15" t="s">
        <v>111</v>
      </c>
      <c r="C1839" s="15"/>
      <c r="D1839" s="1"/>
      <c r="E1839" s="1"/>
      <c r="H1839" s="119"/>
      <c r="J1839" s="118"/>
    </row>
    <row r="1840" spans="2:11" ht="12" customHeight="1">
      <c r="B1840" s="165" t="s">
        <v>166</v>
      </c>
      <c r="C1840" s="3"/>
      <c r="D1840" s="1"/>
      <c r="E1840" s="1"/>
      <c r="F1840" s="8"/>
      <c r="G1840" s="8"/>
      <c r="H1840" s="102"/>
      <c r="I1840" s="28"/>
      <c r="J1840" s="118"/>
    </row>
    <row r="1841" spans="2:11" ht="12" customHeight="1">
      <c r="B1841" s="15" t="s">
        <v>40</v>
      </c>
      <c r="C1841" s="3"/>
      <c r="D1841" s="1"/>
      <c r="E1841" s="1"/>
      <c r="F1841" s="15" t="s">
        <v>54</v>
      </c>
      <c r="G1841" s="15"/>
      <c r="H1841" s="102"/>
      <c r="I1841" s="28"/>
    </row>
    <row r="1842" spans="2:11" ht="12" customHeight="1">
      <c r="B1842" s="2" t="s">
        <v>53</v>
      </c>
      <c r="C1842" s="2" t="s">
        <v>21</v>
      </c>
      <c r="D1842" s="2" t="s">
        <v>22</v>
      </c>
      <c r="E1842" s="17"/>
      <c r="F1842" s="49" t="s">
        <v>41</v>
      </c>
      <c r="G1842" s="97" t="s">
        <v>59</v>
      </c>
      <c r="H1842" s="49" t="s">
        <v>44</v>
      </c>
      <c r="I1842" s="2" t="s">
        <v>21</v>
      </c>
      <c r="J1842" s="49" t="s">
        <v>138</v>
      </c>
      <c r="K1842" s="2" t="s">
        <v>28</v>
      </c>
    </row>
    <row r="1843" spans="2:11" ht="12" customHeight="1">
      <c r="B1843" s="166" t="s">
        <v>25</v>
      </c>
      <c r="C1843" s="18" t="s">
        <v>24</v>
      </c>
      <c r="D1843" s="167">
        <v>10</v>
      </c>
      <c r="E1843" s="19"/>
      <c r="F1843" s="168" t="s">
        <v>43</v>
      </c>
      <c r="G1843" s="169" t="s">
        <v>113</v>
      </c>
      <c r="H1843" s="88" t="str" cm="1">
        <f t="array" ref="H1843">_xlfn.IFS(AND(F1843&lt;&gt;"非削孔",F1843&lt;&gt;"無設定"),D1858,F1843="非削孔",IF(MID(D1847,1,3)="土留め","非削孔","箱抜き"),F1843="無設定","無設定")</f>
        <v>箱抜き</v>
      </c>
      <c r="I1843" s="23" t="str">
        <f>IF(F1843="無設定","","m")</f>
        <v>m</v>
      </c>
      <c r="J1843" s="170">
        <v>0.5</v>
      </c>
      <c r="K1843" s="30">
        <f>D1843*J1843</f>
        <v>5</v>
      </c>
    </row>
    <row r="1844" spans="2:11" ht="12" customHeight="1">
      <c r="B1844" s="171" t="s">
        <v>37</v>
      </c>
      <c r="C1844" s="50" t="s">
        <v>38</v>
      </c>
      <c r="D1844" s="172" t="s">
        <v>159</v>
      </c>
      <c r="E1844" s="173"/>
      <c r="F1844" s="174" t="s">
        <v>49</v>
      </c>
      <c r="G1844" s="169" t="s">
        <v>114</v>
      </c>
      <c r="H1844" s="88" cm="1">
        <f t="array" ref="H1844">_xlfn.IFS(AND(F1844&lt;&gt;"非削孔",F1844&lt;&gt;"無設定"),D1858,F1844="非削孔","箱抜き",F1844="無設定","無設定")</f>
        <v>90</v>
      </c>
      <c r="I1844" s="23" t="str">
        <f t="shared" ref="I1844:I1852" si="72">IF(F1844="無設定","","m")</f>
        <v>m</v>
      </c>
      <c r="J1844" s="170">
        <v>2.64</v>
      </c>
      <c r="K1844" s="30">
        <f>D1843*J1844</f>
        <v>26.400000000000002</v>
      </c>
    </row>
    <row r="1845" spans="2:11" ht="12" customHeight="1">
      <c r="B1845" s="52" t="s">
        <v>39</v>
      </c>
      <c r="C1845" s="91" t="s">
        <v>38</v>
      </c>
      <c r="D1845" s="175" t="s">
        <v>60</v>
      </c>
      <c r="E1845" s="140"/>
      <c r="F1845" s="174" t="s">
        <v>49</v>
      </c>
      <c r="G1845" s="169" t="s">
        <v>115</v>
      </c>
      <c r="H1845" s="88" cm="1">
        <f t="array" ref="H1845">_xlfn.IFS(AND(F1845&lt;&gt;"非削孔",F1845&lt;&gt;"無設定"),D1858,F1845="非削孔","箱抜き",F1845="無設定","無設定")</f>
        <v>90</v>
      </c>
      <c r="I1845" s="23" t="str">
        <f t="shared" si="72"/>
        <v>m</v>
      </c>
      <c r="J1845" s="170">
        <v>5.36</v>
      </c>
      <c r="K1845" s="30">
        <f>D1843*J1845</f>
        <v>53.6</v>
      </c>
    </row>
    <row r="1846" spans="2:11" ht="12" customHeight="1">
      <c r="B1846" s="147" t="s">
        <v>140</v>
      </c>
      <c r="C1846" s="91" t="s">
        <v>38</v>
      </c>
      <c r="D1846" s="176" t="s">
        <v>141</v>
      </c>
      <c r="E1846" s="141"/>
      <c r="F1846" s="174" t="s">
        <v>48</v>
      </c>
      <c r="G1846" s="169"/>
      <c r="H1846" s="88" t="str" cm="1">
        <f t="array" ref="H1846">_xlfn.IFS(AND(F1846&lt;&gt;"非削孔",F1846&lt;&gt;"無設定"),D1858,F1846="非削孔","箱抜き",F1846="無設定","無設定")</f>
        <v>無設定</v>
      </c>
      <c r="I1846" s="23" t="str">
        <f t="shared" si="72"/>
        <v/>
      </c>
      <c r="J1846" s="170">
        <v>0</v>
      </c>
      <c r="K1846" s="30">
        <f>D1843*J1846</f>
        <v>0</v>
      </c>
    </row>
    <row r="1847" spans="2:11" ht="12" customHeight="1">
      <c r="B1847" s="147" t="s">
        <v>142</v>
      </c>
      <c r="C1847" s="91" t="s">
        <v>38</v>
      </c>
      <c r="D1847" s="177" t="s">
        <v>160</v>
      </c>
      <c r="E1847" s="21"/>
      <c r="F1847" s="174" t="s">
        <v>48</v>
      </c>
      <c r="G1847" s="169"/>
      <c r="H1847" s="88" t="str" cm="1">
        <f t="array" ref="H1847">_xlfn.IFS(AND(F1847&lt;&gt;"非削孔",F1847&lt;&gt;"無設定"),D1858,F1847="非削孔","箱抜き",F1847="無設定","無設定")</f>
        <v>無設定</v>
      </c>
      <c r="I1847" s="23" t="str">
        <f t="shared" si="72"/>
        <v/>
      </c>
      <c r="J1847" s="170">
        <v>0</v>
      </c>
      <c r="K1847" s="30">
        <f>D1843*J1847</f>
        <v>0</v>
      </c>
    </row>
    <row r="1848" spans="2:11" ht="12" customHeight="1">
      <c r="B1848" s="114" t="str">
        <f>IF(MID(D1847,1,3)="土留め",D1847&amp;"の種類","")</f>
        <v/>
      </c>
      <c r="C1848" s="91" t="s">
        <v>38</v>
      </c>
      <c r="D1848" s="178" t="s">
        <v>71</v>
      </c>
      <c r="E1848" s="21"/>
      <c r="F1848" s="174" t="s">
        <v>48</v>
      </c>
      <c r="G1848" s="169"/>
      <c r="H1848" s="88" t="str" cm="1">
        <f t="array" ref="H1848">_xlfn.IFS(AND(F1848&lt;&gt;"非削孔",F1848&lt;&gt;"無設定"),D1858,F1848="非削孔","箱抜き",F1848="無設定","無設定")</f>
        <v>無設定</v>
      </c>
      <c r="I1848" s="23" t="str">
        <f t="shared" si="72"/>
        <v/>
      </c>
      <c r="J1848" s="170">
        <v>0</v>
      </c>
      <c r="K1848" s="30">
        <f>D1843*J1848</f>
        <v>0</v>
      </c>
    </row>
    <row r="1849" spans="2:11" ht="12" customHeight="1">
      <c r="B1849" s="179" t="s">
        <v>50</v>
      </c>
      <c r="C1849" s="180" t="s">
        <v>38</v>
      </c>
      <c r="D1849" s="181" t="s">
        <v>51</v>
      </c>
      <c r="E1849" s="182"/>
      <c r="F1849" s="174" t="s">
        <v>48</v>
      </c>
      <c r="G1849" s="169"/>
      <c r="H1849" s="88" t="str" cm="1">
        <f t="array" ref="H1849">_xlfn.IFS(AND(F1849&lt;&gt;"非削孔",F1849&lt;&gt;"無設定"),D1858,F1849="非削孔","箱抜き",F1849="無設定","無設定")</f>
        <v>無設定</v>
      </c>
      <c r="I1849" s="23" t="str">
        <f t="shared" si="72"/>
        <v/>
      </c>
      <c r="J1849" s="170">
        <v>0</v>
      </c>
      <c r="K1849" s="30">
        <f>D1843*J1849</f>
        <v>0</v>
      </c>
    </row>
    <row r="1850" spans="2:11" ht="12" customHeight="1">
      <c r="B1850" s="160" t="str" cm="1">
        <f t="array" ref="B1850">"頭部自由長"&amp;_xlfn.IFS(MID(D1847,1,2)="なし","",MID(D1847,1,3)="受圧体","(受圧体)",MID(D1847,1,3)="のり面","(角度台座＋受圧体)",MID(D1847,1,3)="構造物","(壁面台座)",MID(D1847,1,3)="土留め","(台座+腹起し)")&amp;"　Lfh"</f>
        <v>頭部自由長(角度台座＋受圧体)　Lfh</v>
      </c>
      <c r="C1850" s="155" t="s">
        <v>23</v>
      </c>
      <c r="D1850" s="183">
        <v>0.5</v>
      </c>
      <c r="E1850" s="21"/>
      <c r="F1850" s="174" t="s">
        <v>144</v>
      </c>
      <c r="G1850" s="169"/>
      <c r="H1850" s="88" cm="1">
        <f t="array" ref="H1850">_xlfn.IFS(AND(F1850&lt;&gt;"非削孔",F1850&lt;&gt;"無設定"),D1858,F1850="非削孔","箱抜き",F1850="無設定","無設定")</f>
        <v>90</v>
      </c>
      <c r="I1850" s="23" t="str">
        <f t="shared" si="72"/>
        <v>m</v>
      </c>
      <c r="J1850" s="170">
        <v>0</v>
      </c>
      <c r="K1850" s="30">
        <f>D1843*J1850</f>
        <v>0</v>
      </c>
    </row>
    <row r="1851" spans="2:11" ht="12" customHeight="1">
      <c r="B1851" s="22" t="s">
        <v>108</v>
      </c>
      <c r="C1851" s="23" t="s">
        <v>23</v>
      </c>
      <c r="D1851" s="184">
        <v>4</v>
      </c>
      <c r="E1851" s="21"/>
      <c r="F1851" s="174" t="s">
        <v>48</v>
      </c>
      <c r="G1851" s="169"/>
      <c r="H1851" s="88" t="str" cm="1">
        <f t="array" ref="H1851">_xlfn.IFS(AND(F1851&lt;&gt;"非削孔",F1851&lt;&gt;"無設定"),D1858,F1851="非削孔","箱抜き",F1851="無設定","無設定")</f>
        <v>無設定</v>
      </c>
      <c r="I1851" s="23" t="str">
        <f t="shared" si="72"/>
        <v/>
      </c>
      <c r="J1851" s="170">
        <v>0</v>
      </c>
      <c r="K1851" s="30">
        <f>D1843*J1851</f>
        <v>0</v>
      </c>
    </row>
    <row r="1852" spans="2:11" ht="12" customHeight="1">
      <c r="B1852" s="157" t="s">
        <v>36</v>
      </c>
      <c r="C1852" s="158" t="s">
        <v>23</v>
      </c>
      <c r="D1852" s="185">
        <v>4</v>
      </c>
      <c r="F1852" s="186" t="str" cm="1">
        <f t="array" ref="F1852">INDEX(F1843:H1851,MATCH("無設定",F1843:F1851,0)-1,MATCH(F1842,F1842:H1842,0))</f>
        <v>軟　岩</v>
      </c>
      <c r="G1852" s="100" t="str" cm="1">
        <f t="array" ref="G1852">INDEX(F1843:H1851,MATCH("無設定",F1843:F1851,0)-1,MATCH(G1842,F1842:H1842,0))&amp;"　(先端長 L2d)"</f>
        <v>風化岩 CL　(先端長 L2d)</v>
      </c>
      <c r="H1852" s="88" cm="1">
        <f t="array" ref="H1852">INDEX(F1843:H1851,MATCH("無設定",F1843:F1851,0)-1,MATCH(H1842,F1842:H1842,0))</f>
        <v>90</v>
      </c>
      <c r="I1852" s="23" t="str">
        <f t="shared" si="72"/>
        <v>m</v>
      </c>
      <c r="J1852" s="98">
        <f>D1857</f>
        <v>0.25</v>
      </c>
      <c r="K1852" s="78">
        <f>IFERROR(D1843*J1852,"")</f>
        <v>2.5</v>
      </c>
    </row>
    <row r="1853" spans="2:11" ht="12" customHeight="1">
      <c r="B1853" s="154" t="s">
        <v>145</v>
      </c>
      <c r="C1853" s="155" t="s">
        <v>23</v>
      </c>
      <c r="D1853" s="187">
        <f>IF(OR(D1843=0,D1844="　"),"──",SUM(D1850:D1851))</f>
        <v>4.5</v>
      </c>
      <c r="E1853" s="19"/>
      <c r="F1853" s="188"/>
      <c r="G1853" s="75" t="s">
        <v>124</v>
      </c>
      <c r="H1853" s="103"/>
      <c r="I1853" s="18" t="s">
        <v>23</v>
      </c>
      <c r="J1853" s="74">
        <f>SUMIFS(J1843:J1852,F1843:F1852,"&lt;&gt;非削孔",F1843:F1852,"&lt;&gt;無設定")</f>
        <v>8.25</v>
      </c>
      <c r="K1853" s="95">
        <f>SUMIFS(K1843:K1852,F1843:F1852,"&lt;&gt;非削孔",F1843:F1852,"&lt;&gt;無設定")</f>
        <v>82.5</v>
      </c>
    </row>
    <row r="1854" spans="2:11" ht="12" customHeight="1">
      <c r="B1854" s="146" t="s">
        <v>146</v>
      </c>
      <c r="C1854" s="23" t="s">
        <v>23</v>
      </c>
      <c r="D1854" s="189" cm="1">
        <f t="array" ref="D1854">IF(OR(D1843=0,D1844="　"),"──",IF(MID(D1844,4,1)="5",_xlfn.IFS(1*MID(LEFT(D1844, LEN(D1844)-1),6,2)&lt;8,1,1*MID(LEFT(D1844, LEN(D1844)-1),6,2)&lt;13,1.2),_xlfn.IFS(1*MID(LEFT(D1844, LEN(D1844)-1),6,2)&lt;6,1,1*MID(LEFT(D1844, LEN(D1844)-1),6,2)&lt;15,1.2)))</f>
        <v>1</v>
      </c>
      <c r="E1854" s="19"/>
      <c r="F1854" s="190"/>
      <c r="G1854" s="76" t="s">
        <v>47</v>
      </c>
      <c r="H1854" s="104"/>
      <c r="I1854" s="79" t="s">
        <v>46</v>
      </c>
      <c r="J1854" s="77" t="str">
        <f>IF(OR(D1843=0,D1844="　"),"",IF(SUM(D1851:D1852,D1857)=J1853,"OK","NG"))</f>
        <v>OK</v>
      </c>
      <c r="K1854" s="145" t="str">
        <f>IF(J1854&lt;&gt;"NG","──",J1853-SUM(D1851:D1852,D1857))</f>
        <v>──</v>
      </c>
    </row>
    <row r="1855" spans="2:11" ht="12" customHeight="1">
      <c r="B1855" s="22" t="s">
        <v>125</v>
      </c>
      <c r="C1855" s="23" t="s">
        <v>35</v>
      </c>
      <c r="D1855" s="84">
        <f>IF(OR(D1843=0,D1844="　"),"──",0.2)</f>
        <v>0.2</v>
      </c>
      <c r="F1855" s="191" t="s">
        <v>58</v>
      </c>
      <c r="G1855" s="248" t="s">
        <v>110</v>
      </c>
      <c r="H1855" s="249"/>
      <c r="I1855" s="249"/>
      <c r="J1855" s="249"/>
      <c r="K1855" s="250"/>
    </row>
    <row r="1856" spans="2:11" ht="12" customHeight="1">
      <c r="B1856" s="6" t="s">
        <v>147</v>
      </c>
      <c r="C1856" s="23" t="s">
        <v>23</v>
      </c>
      <c r="D1856" s="60">
        <f>IF(OR(D1843=0,D1844="　"),"──",SUM(D1852:D1855))</f>
        <v>9.6999999999999993</v>
      </c>
    </row>
    <row r="1857" spans="2:11" ht="12" customHeight="1">
      <c r="B1857" s="25" t="s">
        <v>127</v>
      </c>
      <c r="C1857" s="26" t="s">
        <v>23</v>
      </c>
      <c r="D1857" s="27">
        <f>IF(OR(D1843=0,D1844="　"),"──",0.25)</f>
        <v>0.25</v>
      </c>
      <c r="F1857" s="8"/>
      <c r="G1857" s="8"/>
      <c r="H1857" s="102"/>
    </row>
    <row r="1858" spans="2:11" ht="12" customHeight="1">
      <c r="B1858" s="95" t="s">
        <v>123</v>
      </c>
      <c r="C1858" s="18" t="s">
        <v>32</v>
      </c>
      <c r="D1858" s="192">
        <v>90</v>
      </c>
      <c r="E1858" s="193" t="str">
        <f>IF(D1858&lt;D1859,"NG：削孔径不適合","")</f>
        <v/>
      </c>
      <c r="F1858" s="8"/>
      <c r="G1858" s="8"/>
      <c r="H1858" s="102"/>
    </row>
    <row r="1859" spans="2:11" ht="12" customHeight="1">
      <c r="B1859" s="25" t="s">
        <v>122</v>
      </c>
      <c r="C1859" s="26" t="s">
        <v>32</v>
      </c>
      <c r="D1859" s="194" cm="1">
        <f t="array" ref="D1859">IF(OR(D1843=0,D1844="　"),"──",IF(D1849="なし",IF(MID(D1844,4,1)="5",_xlfn.IFS(1*MID(LEFT(D1844, LEN(D1844)-1),6,2)&lt;6,90,1*MID(LEFT(D1844, LEN(D1844)-1),6,2)&lt;9,115,1*MID(LEFT(D1844, LEN(D1844)-1),6,2)&gt;8,135),_xlfn.IFS(1*MID(LEFT(D1844, LEN(D1844)-1),6,2)&lt;4,90,1*MID(LEFT(D1844, LEN(D1844)-1),6,2)&lt;7,115,1*MID(LEFT(D1844, LEN(D1844)-1),6,2)&lt;10,135,1*MID(LEFT(D1844, LEN(D1844)-1),6,2)&lt;13,146,1*MID(LEFT(D1844, LEN(D1844)-1),6,2)&gt;12,165)),IF(MID(D1844,4,1)="5",_xlfn.IFS(1*MID(LEFT(D1844, LEN(D1844)-1),6,2)&lt;3,90,1*MID(LEFT(D1844, LEN(D1844)-1),6,2)&lt;7,115,1*MID(LEFT(D1844, LEN(D1844)-1),6,2)&lt;9,135,1*MID(LEFT(D1844, LEN(D1844)-1),6,2)&gt;8,146),_xlfn.IFS(1*MID(LEFT(D1844, LEN(D1844)-1),6,2)&lt;3,90,1*MID(LEFT(D1844, LEN(D1844)-1),6,2)&lt;4,115,1*MID(LEFT(D1844, LEN(D1844)-1),6,2)&lt;6,135,1*MID(LEFT(D1844, LEN(D1844)-1),6,2)&lt;10,146,1*MID(LEFT(D1844, LEN(D1844)-1),6,2)&lt;13,165,1*MID(LEFT(D1844, LEN(D1844)-1),6,2)&gt;12,216))))</f>
        <v>90</v>
      </c>
      <c r="E1859" s="195"/>
      <c r="F1859" s="8"/>
      <c r="G1859" s="8"/>
      <c r="H1859" s="102"/>
    </row>
    <row r="1860" spans="2:11" ht="12" customHeight="1">
      <c r="B1860" s="20"/>
      <c r="C1860" s="46"/>
      <c r="D1860" s="117"/>
      <c r="F1860" s="8"/>
      <c r="G1860" s="8"/>
      <c r="H1860" s="102"/>
    </row>
    <row r="1861" spans="2:11" ht="12" customHeight="1">
      <c r="B1861" s="15" t="str">
        <f>"■"&amp;MID(B1838,2,14)</f>
        <v>■本設：EHDアンカーHP工法</v>
      </c>
      <c r="C1861" s="3"/>
      <c r="D1861" s="1"/>
      <c r="E1861" s="1"/>
      <c r="F1861" s="8"/>
      <c r="G1861" s="8"/>
      <c r="H1861" s="102"/>
    </row>
    <row r="1862" spans="2:11" ht="12" customHeight="1">
      <c r="B1862" s="2" t="s">
        <v>17</v>
      </c>
      <c r="C1862" s="43"/>
      <c r="D1862" s="196" t="s">
        <v>148</v>
      </c>
      <c r="E1862" s="135"/>
      <c r="F1862" s="16"/>
      <c r="G1862" s="61" t="s">
        <v>42</v>
      </c>
      <c r="H1862" s="97"/>
      <c r="I1862" s="2" t="s">
        <v>21</v>
      </c>
      <c r="J1862" s="49" t="s">
        <v>149</v>
      </c>
      <c r="K1862" s="2" t="s">
        <v>28</v>
      </c>
    </row>
    <row r="1863" spans="2:11" ht="12" customHeight="1">
      <c r="B1863" s="197" t="s">
        <v>150</v>
      </c>
      <c r="C1863" s="198" t="str">
        <f>IF(OR(D1843=0,D1844="　"),"",D1844&amp;" ("&amp;MID(LEFT(D1844, LEN(D1844)-1),6,2)&amp;IF(MID(D1844,4,1)="5","φ12.7","φ15.2")&amp;")")</f>
        <v>EHD5-4H (4φ12.7)</v>
      </c>
      <c r="D1863" s="199"/>
      <c r="E1863" s="200"/>
      <c r="F1863" s="201" t="str">
        <f>"W=テンドン長×PC鋼より線本数×"&amp;IF(MID(D1844,4,1)="5","0.774","1.101")&amp;"kg/m"</f>
        <v>W=テンドン長×PC鋼より線本数×0.774kg/m</v>
      </c>
      <c r="G1863" s="202"/>
      <c r="H1863" s="203"/>
      <c r="I1863" s="204" t="s">
        <v>11</v>
      </c>
      <c r="J1863" s="205">
        <f>IF(OR(D1843=0,D1844="　"),"",MROUND(D1856*MID(LEFT(D1844, LEN(D1844)-1),6,2)*IF(MID(D1844,4,1)="5","0.774","1.101"),0.01))</f>
        <v>30.03</v>
      </c>
      <c r="K1863" s="205">
        <f>IFERROR(D1843*J1863,"")</f>
        <v>300.3</v>
      </c>
    </row>
    <row r="1864" spans="2:11" ht="12" customHeight="1">
      <c r="B1864" s="206" t="s">
        <v>151</v>
      </c>
      <c r="C1864" s="207"/>
      <c r="D1864" s="208"/>
      <c r="E1864" s="209"/>
      <c r="F1864" s="210" t="s">
        <v>33</v>
      </c>
      <c r="G1864" s="211"/>
      <c r="H1864" s="212"/>
      <c r="I1864" s="213" t="s">
        <v>12</v>
      </c>
      <c r="J1864" s="214">
        <f>IF(OR(D1843=0,D1844="　"),"",MROUND(D1856,0.1))</f>
        <v>9.7000000000000011</v>
      </c>
      <c r="K1864" s="214">
        <f>IFERROR(D1843*J1864,"")</f>
        <v>97.000000000000014</v>
      </c>
    </row>
    <row r="1865" spans="2:11" ht="12" customHeight="1">
      <c r="B1865" s="206" t="str">
        <f>"頭部キャップ"</f>
        <v>頭部キャップ</v>
      </c>
      <c r="C1865" s="207" t="str" cm="1">
        <f t="array" ref="C1865">IF(OR(D1843=0,D1844="　"),"",IF(MID(D1844,4,1)="5",_xlfn.SWITCH(1*MID(LEFT(D1844, LEN(D1844)-1),6,2),1,"S",2,"S",3,"S",4,"S",5,"M",6,"M",7,"M",8,"L",9,"L",10,"L",11,"L",12,"L"),_xlfn.SWITCH(1*MID(LEFT(D1844, LEN(D1844)-1),6,2),1,"S",2,"S",3,"M",4,"M",5,"L",6,"L",7,"L",8,"LL",9,"LL",10,"LL",11,"LL",12,"LL",13,"LL",14,"LL"))&amp;"型"&amp;D1846&amp;IF(OR(MID(D1846,1,2)="透明",MID(D1846,1,2)="5窓"),"、PC樹脂","")&amp;"、ｱﾙﾐAC4C相当"&amp;_xlfn.IFS(MID(D1845,1,3)="防食Ⅱ","",MID(D1845,5,2)="塩害","、防食：ﾀｹｺｰﾄ処理",MID(D1845,5,2)="酸性","、防食：重防食処理"))</f>
        <v>S型透明キャップ、PC樹脂、ｱﾙﾐAC4C相当</v>
      </c>
      <c r="D1865" s="215"/>
      <c r="E1865" s="216"/>
      <c r="F1865" s="217" t="str">
        <f t="shared" ref="F1865:F1871" si="73">"n=1"</f>
        <v>n=1</v>
      </c>
      <c r="G1865" s="218"/>
      <c r="H1865" s="219"/>
      <c r="I1865" s="213" t="s">
        <v>13</v>
      </c>
      <c r="J1865" s="220" t="str">
        <f>IF(OR(D1843=0,D1844="　"),"",MID(F1865,3,2))</f>
        <v>1</v>
      </c>
      <c r="K1865" s="214">
        <f>IFERROR(D1843*J1865,"")</f>
        <v>10</v>
      </c>
    </row>
    <row r="1866" spans="2:11" ht="12" customHeight="1">
      <c r="B1866" s="206" t="s">
        <v>5</v>
      </c>
      <c r="C1866" s="207" t="str" cm="1">
        <f t="array" ref="C1866">IF(OR(D1843=0,D1844="　"),"",IF(MID(D1844,4,1)="5","G5"&amp;_xlfn.SWITCH(1*MID(LEFT(D1844, LEN(D1844)-1),6,2),1,"01",2,"02",3,"03",4,"04",5,"07",6,"07",7,"07",8,"09",9,"09",10,"12",11,"12",12,"12"),"G6"&amp;_xlfn.SWITCH(1*MID(LEFT(D1844, LEN(D1844)-1),6,2),1,"01",2,"02",3,"03",4,"04",5,"07",6,"07",7,"07",8,"09",9,"09",10,"12",11,"12",12,"12",13,"14",14,"14"))&amp;"、S45C相当"&amp;IF(MID(D1846,1,3)&lt;&gt;"アルミ","、防食：無電解Niめっき",""))</f>
        <v>G504、S45C相当、防食：無電解Niめっき</v>
      </c>
      <c r="D1866" s="208"/>
      <c r="E1866" s="209"/>
      <c r="F1866" s="217" t="str">
        <f t="shared" si="73"/>
        <v>n=1</v>
      </c>
      <c r="G1866" s="218"/>
      <c r="H1866" s="219"/>
      <c r="I1866" s="213" t="s">
        <v>13</v>
      </c>
      <c r="J1866" s="220" t="str">
        <f>IF(OR(D1843=0,D1844="　"),"",MID(F1866,3,2))</f>
        <v>1</v>
      </c>
      <c r="K1866" s="214">
        <f>IFERROR(D1843*J1866,"")</f>
        <v>10</v>
      </c>
    </row>
    <row r="1867" spans="2:11" ht="12" customHeight="1">
      <c r="B1867" s="206" t="s">
        <v>152</v>
      </c>
      <c r="C1867" s="207" t="str" cm="1">
        <f t="array" ref="C1867">IF(OR(D1843=0,D1844="　"),"",IF(MID(D1844,4,1)="5","G5"&amp;_xlfn.SWITCH(1*MID(LEFT(D1844, LEN(D1844)-1),6,2),1,"01",2,"02",3,"03",4,"04",5,"07",6,"07",7,"07",8,"09",9,"09",10,"12",11,"12",12,"12"),"G6"&amp;_xlfn.SWITCH(1*MID(LEFT(D1844, LEN(D1844)-1),6,2),1,"01",2,"02",3,"03",4,"04",5,"07",6,"07",7,"07",8,"09",9,"09",10,"12",11,"12",12,"12",13,"14",14,"14"))&amp;"、S45C相当"&amp;IF(MID(D1846,1,3)&lt;&gt;"アルミ","、防食：無電解Niめっき",""))</f>
        <v>G504、S45C相当、防食：無電解Niめっき</v>
      </c>
      <c r="D1867" s="208"/>
      <c r="E1867" s="209"/>
      <c r="F1867" s="217" t="str">
        <f t="shared" si="73"/>
        <v>n=1</v>
      </c>
      <c r="G1867" s="218"/>
      <c r="H1867" s="219"/>
      <c r="I1867" s="213" t="s">
        <v>13</v>
      </c>
      <c r="J1867" s="220" t="str">
        <f>IF(OR(D1843=0,D1844="　"),"",MID(F1867,3,2))</f>
        <v>1</v>
      </c>
      <c r="K1867" s="214">
        <f>IFERROR(D1843*J1867,"")</f>
        <v>10</v>
      </c>
    </row>
    <row r="1868" spans="2:11" ht="12" customHeight="1">
      <c r="B1868" s="206" t="s">
        <v>7</v>
      </c>
      <c r="C1868" s="207" t="str">
        <f>IF(OR(D1843=0,D1844="　"),"",IF(1*MID(D1844,4,1)=5,"ECF12.7","ECF15.2")&amp;"、SCM415相当"&amp;IF(MID(D1846,1,3)&lt;&gt;"アルミ","、防食：無電解Niめっき",""))</f>
        <v>ECF12.7、SCM415相当、防食：無電解Niめっき</v>
      </c>
      <c r="D1868" s="208"/>
      <c r="E1868" s="209"/>
      <c r="F1868" s="217" t="str">
        <f t="shared" si="73"/>
        <v>n=1</v>
      </c>
      <c r="G1868" s="218"/>
      <c r="H1868" s="219"/>
      <c r="I1868" s="213" t="s">
        <v>27</v>
      </c>
      <c r="J1868" s="220" t="str">
        <f>IF(OR(D1843=0,D1844="　"),"",MID(F1868,3,2))</f>
        <v>1</v>
      </c>
      <c r="K1868" s="214">
        <f>IFERROR(D1843*J1868,"")</f>
        <v>10</v>
      </c>
    </row>
    <row r="1869" spans="2:11" ht="12" customHeight="1">
      <c r="B1869" s="206" t="s">
        <v>153</v>
      </c>
      <c r="C1869" s="207" t="str" cm="1">
        <f t="array" ref="C1869">IF(OR(D1843=0,D1844="　"),"",IF(MID(D1844,4,1)="5","G5"&amp;_xlfn.SWITCH(1*MID(LEFT(D1844, LEN(D1844)-1),6,2),1,"01",2,"04",3,"03",4,"04",5,"07",6,"07",7,"07",8,"12",9,"12",10,"12",11,"12",12,"12"),"G6"&amp;_xlfn.SWITCH(1*MID(LEFT(D1844, LEN(D1844)-1),6,2),1,"01",2,"02",3,"03",4,"04",5,"07",6,"07",7,"07",8,"12",9,"12",10,"12",11,"12",12,"12",13,"14",14,"14"))&amp;"、SS400相当、防食："&amp;_xlfn.IFS(MID(D1845,1,3)="防食Ⅱ","HDZT77めっき",MID(D1845,5,2)="塩害","ｱﾙﾐﾅｲｽﾞ処理",MID(D1845,5,2)="酸性","重防食処理"))</f>
        <v>G504、SS400相当、防食：HDZT77めっき</v>
      </c>
      <c r="D1869" s="208"/>
      <c r="E1869" s="209"/>
      <c r="F1869" s="217" t="str">
        <f t="shared" si="73"/>
        <v>n=1</v>
      </c>
      <c r="G1869" s="218"/>
      <c r="H1869" s="219"/>
      <c r="I1869" s="213" t="s">
        <v>16</v>
      </c>
      <c r="J1869" s="220" t="str">
        <f>IF(OR(D1843=0,D1844="　"),"",MID(F1869,3,2))</f>
        <v>1</v>
      </c>
      <c r="K1869" s="214">
        <f>IFERROR(D1843*J1869,"")</f>
        <v>10</v>
      </c>
    </row>
    <row r="1870" spans="2:11" ht="12" customHeight="1">
      <c r="B1870" s="206" t="str">
        <f>IF(MID(D1847,1,3)="のり面","管付","")&amp;"支圧板"</f>
        <v>管付支圧板</v>
      </c>
      <c r="C1870" s="221" t="str" cm="1">
        <f t="array" ref="C1870">IF(OR(D1843=0,D1844="　"),"","PL"&amp;IF(MID(D1847,1,3)="のり面","P","")&amp;IF(MID(D1844,4,1)="5","5-"&amp;_xlfn.SWITCH(1*MID(LEFT(D1844, LEN(D1844)-1),6,2),1,"1",2,"2",3,"3",4,"4",5,"5",6,"6",7,"7",8,"9",9,"9",10,"10",11,"11",12,"12"),"6-"&amp;_xlfn.SWITCH(1*MID(LEFT(D1844, LEN(D1844)-1),6,2),1,"1",2,"2",3,"3",4,"4",5,"6",6,"6",7,"7",8,"8",9,"9",10,"10",11,"11",12,"12",13,"14",14,"14"))&amp;"、SS400相当、防食："&amp;_xlfn.IFS(MID(D1845,1,3)="防食Ⅱ","HDZT77めっき",MID(D1845,5,2)="塩害","ｱﾙﾐﾅｲｽﾞ処理",MID(D1845,5,2)="酸性","重防食処理"))</f>
        <v>PLP5-4、SS400相当、防食：HDZT77めっき</v>
      </c>
      <c r="D1870" s="208"/>
      <c r="E1870" s="209"/>
      <c r="F1870" s="217" t="str">
        <f t="shared" si="73"/>
        <v>n=1</v>
      </c>
      <c r="G1870" s="218"/>
      <c r="H1870" s="219"/>
      <c r="I1870" s="213" t="s">
        <v>16</v>
      </c>
      <c r="J1870" s="220" t="str">
        <f>IF(OR(D1843=0,D1844="　"),"",MID(F1870,3,2))</f>
        <v>1</v>
      </c>
      <c r="K1870" s="214">
        <f>IFERROR(D1843*J1870,"")</f>
        <v>10</v>
      </c>
    </row>
    <row r="1871" spans="2:11" ht="12" customHeight="1">
      <c r="B1871" s="206" t="s">
        <v>154</v>
      </c>
      <c r="C1871" s="207" t="str">
        <f>IF(OR(D1843=0,D1844="　"),"","G"&amp;MID(LEFT(D1844, LEN(D1844)-1),4,4)&amp;"、NBR45相当")</f>
        <v>G5-4、NBR45相当</v>
      </c>
      <c r="D1871" s="208"/>
      <c r="E1871" s="209"/>
      <c r="F1871" s="217" t="str">
        <f t="shared" si="73"/>
        <v>n=1</v>
      </c>
      <c r="G1871" s="218"/>
      <c r="H1871" s="219"/>
      <c r="I1871" s="213" t="s">
        <v>13</v>
      </c>
      <c r="J1871" s="220" t="str">
        <f>IF(OR(D1843=0,D1844="　"),"",MID(F1871,3,2))</f>
        <v>1</v>
      </c>
      <c r="K1871" s="214">
        <f>IFERROR(D1843*J1871,"")</f>
        <v>10</v>
      </c>
    </row>
    <row r="1872" spans="2:11" ht="12" customHeight="1">
      <c r="B1872" s="206" t="str" cm="1">
        <f t="array" ref="B1872">_xlfn.IFS(OR(D1843=0,D1844="　"),"",MID(D1846,1,3)="アルミ","頭部防錆油",MID(D1846,1,3)&lt;&gt;"アルミ","余長キャップ")</f>
        <v>余長キャップ</v>
      </c>
      <c r="C1872" s="221" t="str" cm="1">
        <f t="array" ref="C1872">_xlfn.IFS(OR(D1843=0,D1844="　"),"",MID(D1846,1,3)="アルミ","PCコートC",MID(D1846,1,3)&lt;&gt;"アルミ","TC"&amp;MID(D1844,4,1)&amp;"、高密度ポチエチレン")</f>
        <v>TC5、高密度ポチエチレン</v>
      </c>
      <c r="D1872" s="208"/>
      <c r="E1872" s="209"/>
      <c r="F1872" s="217" t="str" cm="1">
        <f t="array" ref="F1872">_xlfn.IFS(OR(D1843=0,D1844="　"),"",MID(D1846,1,3)="アルミ","W="&amp;IF(MID(D1844,4,1)="5",_xlfn.SWITCH(1*MID(LEFT(D1844, LEN(D1844)-1),6,2),1,1.9,2,1.3,3,1.3,4,1.3,5,1.6,6,1.6,7,1.6,8,3.1,9,3.1,10,3.1,11,3.1,12,3.1),"G6"&amp;_xlfn.SWITCH(1*MID(LEFT(D1844, LEN(D1844)-1),6,2),1,1.8,2,1.3,3,1.8,4,1.8,5,3.3,6,3.3,7,3.3,8,9.9,9,9.9,10,9.9,11,9.9,12,9.9,13,9.9,14,9.9)),MID(D1846,1,3)&lt;&gt;"アルミ","n=1")</f>
        <v>n=1</v>
      </c>
      <c r="G1872" s="218"/>
      <c r="H1872" s="219"/>
      <c r="I1872" s="213" t="str" cm="1">
        <f t="array" ref="I1872">_xlfn.IFS(OR(D1843=0,D1844="　"),"",MID(D1846,1,3)="アルミ","kg",MID(D1846,1,3)&lt;&gt;"アルミ","式")</f>
        <v>式</v>
      </c>
      <c r="J1872" s="220" t="str">
        <f>IF(OR(D1843=0,D1844="　"),"",MID(F1872,3,4))</f>
        <v>1</v>
      </c>
      <c r="K1872" s="214">
        <f>IFERROR(D1843*J1872,"")</f>
        <v>10</v>
      </c>
    </row>
    <row r="1873" spans="2:11" ht="12" customHeight="1">
      <c r="B1873" s="206" t="s">
        <v>9</v>
      </c>
      <c r="C1873" s="207" t="str" cm="1">
        <f t="array" ref="C1873">IF(OR(D1843=0,D1844="　"),"",IF(MID(D1844,4,1)="5","PS5-"&amp;_xlfn.SWITCH(1*MID(LEFT(D1844, LEN(D1844)-1),6,2),1,"7",2,"2",3,"3",4,"4",5,"7",6,"7",7,"7",8,"12",9,"12",10,"12",11,"12",12,"12"),"PS6-"&amp;_xlfn.SWITCH(1*MID(LEFT(D1844, LEN(D1844)-1),6,2),1,"7",2,"2",3,"3",4,"4",5,"7",6,"7",7,"7",8,"12",9,"12",10,"12",11,"12",12,"12",13,"14",14,"14"))&amp;"、高密度ポリエチレン")</f>
        <v>PS5-4、高密度ポリエチレン</v>
      </c>
      <c r="D1873" s="208"/>
      <c r="E1873" s="209"/>
      <c r="F1873" s="217" t="str">
        <f>"n=2"</f>
        <v>n=2</v>
      </c>
      <c r="G1873" s="218"/>
      <c r="H1873" s="219"/>
      <c r="I1873" s="213" t="s">
        <v>13</v>
      </c>
      <c r="J1873" s="220" t="str">
        <f>IF(OR(D1843=0,D1844="　"),"",MID(F1873,3,2))</f>
        <v>2</v>
      </c>
      <c r="K1873" s="214">
        <f>IFERROR(D1843*J1873,"")</f>
        <v>20</v>
      </c>
    </row>
    <row r="1874" spans="2:11" ht="12" customHeight="1">
      <c r="B1874" s="206" t="s">
        <v>2</v>
      </c>
      <c r="C1874" s="207" t="str" cm="1">
        <f t="array" ref="C1874">IF(OR(D1843=0,D1844="　"),"",IF(MID(D1844,4,1)="5","S5-"&amp;_xlfn.IFS(1*MID(LEFT(D1844, LEN(D1844)-1),6,2)&lt;6,"5",1*MID(LEFT(D1844, LEN(D1844)-1),6,2)&lt;9,"8",1*MID(LEFT(D1844, LEN(D1844)-1),6,2)&gt;8,"12"),"S6-"&amp;_xlfn.IFS(1*MID(LEFT(D1844, LEN(D1844)-1),6,2)&lt;4,"3",1*MID(LEFT(D1844, LEN(D1844)-1),6,2)&lt;7,"6",1*MID(LEFT(D1844, LEN(D1844)-1),6,2)&lt;10,"9",1*MID(LEFT(D1844, LEN(D1844)-1),6,2)&lt;13,"12",1*MID(LEFT(D1844, LEN(D1844)-1),6,2)&gt;12,"14"))&amp;"、ポリプロピレン")</f>
        <v>S5-5、ポリプロピレン</v>
      </c>
      <c r="D1874" s="208"/>
      <c r="E1874" s="209"/>
      <c r="F1874" s="222" t="s">
        <v>155</v>
      </c>
      <c r="G1874" s="211"/>
      <c r="H1874" s="212"/>
      <c r="I1874" s="213" t="s">
        <v>13</v>
      </c>
      <c r="J1874" s="206">
        <f>IF(OR(D1843=0,D1844="　"),"",MROUND((D1852-0.4)/1,1))</f>
        <v>4</v>
      </c>
      <c r="K1874" s="214">
        <f>IFERROR(D1843*J1874,"")</f>
        <v>40</v>
      </c>
    </row>
    <row r="1875" spans="2:11" ht="12" customHeight="1">
      <c r="B1875" s="206" t="s">
        <v>1</v>
      </c>
      <c r="C1875" s="207" t="str" cm="1">
        <f t="array" ref="C1875">IF(OR(D1843=0,D1844="　"),"",IF(MID(D1844,4,1)="5","PC5-"&amp;_xlfn.IFS(1*MID(LEFT(D1844, LEN(D1844)-1),6,2)&lt;5,"4",1*MID(LEFT(D1844, LEN(D1844)-1),6,2)&lt;8,"7",1*MID(LEFT(D1844, LEN(D1844)-1),6,2)&lt;10,"9",1*MID(LEFT(D1844, LEN(D1844)-1),6,2)&gt;9,"12"),"PC6-"&amp;_xlfn.IFS(1*MID(LEFT(D1844, LEN(D1844)-1),6,2)&lt;4,"3",1*MID(LEFT(D1844, LEN(D1844)-1),6,2)&lt;8,"7",1*MID(LEFT(D1844, LEN(D1844)-1),6,2)&lt;13,"12",1*MID(LEFT(D1844, LEN(D1844)-1),6,2)&gt;12,"14"))&amp;"、ポリプロピレン")</f>
        <v>PC5-4、ポリプロピレン</v>
      </c>
      <c r="D1875" s="208"/>
      <c r="E1875" s="209"/>
      <c r="F1875" s="217" t="str">
        <f>"n=1"</f>
        <v>n=1</v>
      </c>
      <c r="G1875" s="218"/>
      <c r="H1875" s="219"/>
      <c r="I1875" s="213" t="s">
        <v>13</v>
      </c>
      <c r="J1875" s="220" t="str">
        <f>IF(OR(D1843=0,D1844="　"),"",MID(F1875,3,2))</f>
        <v>1</v>
      </c>
      <c r="K1875" s="214">
        <f>IFERROR(D1843*J1875,"")</f>
        <v>10</v>
      </c>
    </row>
    <row r="1876" spans="2:11" ht="12" customHeight="1">
      <c r="B1876" s="206" t="s">
        <v>3</v>
      </c>
      <c r="C1876" s="207" t="str">
        <f>IF(OR(D1843=0,D1844="　"),"","66ナイロン")</f>
        <v>66ナイロン</v>
      </c>
      <c r="D1876" s="208"/>
      <c r="E1876" s="209"/>
      <c r="F1876" s="222" t="s">
        <v>156</v>
      </c>
      <c r="G1876" s="211"/>
      <c r="H1876" s="212"/>
      <c r="I1876" s="213" t="s">
        <v>14</v>
      </c>
      <c r="J1876" s="206">
        <f>IF(OR(D1843=0,D1844="　"),"",2*J1874)</f>
        <v>8</v>
      </c>
      <c r="K1876" s="214">
        <f>IFERROR(D1843*J1876,"")</f>
        <v>80</v>
      </c>
    </row>
    <row r="1877" spans="2:11" ht="12" customHeight="1">
      <c r="B1877" s="206" t="s">
        <v>4</v>
      </c>
      <c r="C1877" s="207" t="str">
        <f>IF(OR(D1843=0,D1844="　"),"","フィラメントテープ")</f>
        <v>フィラメントテープ</v>
      </c>
      <c r="D1877" s="208"/>
      <c r="E1877" s="209"/>
      <c r="F1877" s="222" t="str">
        <f>IF(OR(D1843=0,D1844="　"),"","L=((自由長+緊張部長)÷@1.0m)×テープ係数"&amp;IF(MID(D1844,4,1)="5",_xlfn.IFS(1*MID(LEFT(D1844, LEN(D1844)-1),6,2)&lt;4,"0.8",1*MID(LEFT(D1844, LEN(D1844)-1),6,2)&lt;7,"1.0",1*MID(LEFT(D1844, LEN(D1844)-1),6,2)&lt;10,"1.2",1*MID(LEFT(D1844, LEN(D1844)-1),6,2)&lt;13,"1.4"),_xlfn.IFS(1*MID(LEFT(D1844, LEN(D1844)-1),6,2)&lt;4,"1.0",1*MID(LEFT(D1844, LEN(D1844)-1),6,2)&lt;7,"1.2",1*MID(LEFT(D1844, LEN(D1844)-1),6,2)&lt;10,"1.4",1*MID(LEFT(D1844, LEN(D1844)-1),6,2)&lt;15,"1.8")))</f>
        <v>L=((自由長+緊張部長)÷@1.0m)×テープ係数1.0</v>
      </c>
      <c r="G1877" s="211"/>
      <c r="H1877" s="212"/>
      <c r="I1877" s="213" t="s">
        <v>12</v>
      </c>
      <c r="J1877" s="223">
        <f>IF(OR(D1843=0,D1844="　"),"",MROUND((SUM(D1853,D1854))/1*RIGHT(F1877, 3),0.1))</f>
        <v>5.5</v>
      </c>
      <c r="K1877" s="214">
        <f>IFERROR(D1843*J1877,"")</f>
        <v>55</v>
      </c>
    </row>
    <row r="1878" spans="2:11" ht="12" customHeight="1">
      <c r="B1878" s="206" t="s">
        <v>0</v>
      </c>
      <c r="C1878" s="207" t="str">
        <f>IF(OR(D1843=0,D1844="　"),"","16/20、高密度ポリエチレン")</f>
        <v>16/20、高密度ポリエチレン</v>
      </c>
      <c r="D1878" s="208"/>
      <c r="E1878" s="209"/>
      <c r="F1878" s="210" t="s">
        <v>33</v>
      </c>
      <c r="G1878" s="211"/>
      <c r="H1878" s="212"/>
      <c r="I1878" s="213" t="s">
        <v>12</v>
      </c>
      <c r="J1878" s="214">
        <f>IF(OR(D1843=0,D1844="　"),"",MROUND(D1856,0.1))</f>
        <v>9.7000000000000011</v>
      </c>
      <c r="K1878" s="214">
        <f>IFERROR(D1843*J1878,"")</f>
        <v>97.000000000000014</v>
      </c>
    </row>
    <row r="1879" spans="2:11" ht="12" customHeight="1">
      <c r="B1879" s="206" t="str" cm="1">
        <f t="array" ref="B1879">_xlfn.IFS(OR(D1843=0,D1844="　",MID(D1847,1,2)="なし",MID(D1847,1,3)="受圧体"),"",MID(D1847,1,3)="のり面","のり面角度台座",MID(D1847,1,3)="構造物","構造物壁面台座",MID(D1847,1,3)="土留め","土留め台座")</f>
        <v>のり面角度台座</v>
      </c>
      <c r="C1879" s="210" t="str" cm="1">
        <f t="array" ref="C1879">IF(OR(D1843=0,D1844="　",MID(D1847,1,2)="なし",MID(D1847,1,3)="受圧体"),"",_xlfn.IFS(MID(D1847,1,3)="のり面",IF(1*MID(D1844,4,1)=5,_xlfn.IFS(1*MID(LEFT(D1844, LEN(D1844)-1),6,2)&lt;5,"ST140",1*MID(LEFT(D1844, LEN(D1844)-1),6,2)&lt;8,"ST170",1*MID(LEFT(D1844, LEN(D1844)-1),6,2)&lt;13,"ST220"),_xlfn.IFS(1*MID(LEFT(D1844, LEN(D1844)-1),6,2)&lt;4,"ST140",1*MID(LEFT(D1844, LEN(D1844)-1),6,2)&lt;5,"ST170",1*MID(LEFT(D1844, LEN(D1844)-1),6,2)&lt;8,"ST220",1*MID(LEFT(D1844, LEN(D1844)-1),6,2)&lt;15,"非該当"))&amp;"、FCD450相当、防食："&amp;_xlfn.IFS(MID(D1845,1,3)="防食Ⅱ","HDZT77めっき",MID(D1845,5,2)="塩害","ｱﾙﾐﾅｲｽﾞ処理",MID(D1845,5,2)="酸性","重防食処理"),OR(MID(D1847,1,3)="構造物",MID(D1847,1,3)="土留め"),D1844&amp;"用"&amp;IF(OR(MID(D1847,1,3)="構造物",D1848="　"),"",D1848)&amp;"、防食："&amp;_xlfn.IFS(MID(D1845,1,3)="防食Ⅱ","HDZT77めっき",MID(D1845,5,2)="塩害","ｱﾙﾐﾅｲｽﾞ処理",MID(D1845,5,2)="酸性","重防食処理")))</f>
        <v>ST140、FCD450相当、防食：HDZT77めっき</v>
      </c>
      <c r="D1879" s="208"/>
      <c r="E1879" s="209"/>
      <c r="F1879" s="217" t="str">
        <f>IF(OR(D1847="なし",D1847="受圧体のみ"),"","n=1")</f>
        <v>n=1</v>
      </c>
      <c r="G1879" s="218"/>
      <c r="H1879" s="219"/>
      <c r="I1879" s="213" t="str">
        <f>IF(OR(D1843=0,D1844="　",B1879=""),"","台")</f>
        <v>台</v>
      </c>
      <c r="J1879" s="220" t="str">
        <f>IF(OR(D1843=0,D1844="　"),"",MID(F1879,3,2))</f>
        <v>1</v>
      </c>
      <c r="K1879" s="214">
        <f>IFERROR(D1843*J1879,"")</f>
        <v>10</v>
      </c>
    </row>
    <row r="1880" spans="2:11" ht="12" customHeight="1">
      <c r="B1880" s="206" t="str">
        <f>IF(OR(D1843=0,D1844="　",MID(D1847,1,3)&lt;&gt;"のり面"),"","補剛板")</f>
        <v>補剛板</v>
      </c>
      <c r="C1880" s="210" t="str" cm="1">
        <f t="array" ref="C1880">IF(OR(D1843=0,D1844="　",MID(D1847,1,3)&lt;&gt;"のり面"),"",IF(MID(D1844,4,1)="5","□"&amp;_xlfn.SWITCH(1*MID(LEFT(D1844, LEN(D1844)-1),6,2),1,"210φ131t12",2,"210φ131t12",3,"240φ131t12",4,"270φ131t12",5,"280φ143t12",6,"310φ143t16",7,"350φ143t19",8,"350φ180t19",9,"350φ180t19",10,"350φ180t19",11,"350φ180t22",12,"350φ180t22"),"□"&amp;_xlfn.SWITCH(1*MID(LEFT(D1844, LEN(D1844)-1),6,2),1,"210,φ131,t12",2,"240,φ131,t12",3,"270,φ131,t16",4,"300,φ143,t16",5,"350,φ180,t16",6,"350,φ180,t16",7,"350,φ180,t19",8,"400,φ──,t12",9,"400,φ──,t12",10,"400,φ──,t12",11,"400,φ──,t12",12,"400,φ──,t12",13,"400,φ──,t12",14,"400,φ──,t12"))&amp;"、SS400相当、防食："&amp;_xlfn.IFS(MID(D1845,1,3)="防食Ⅱ","HDZT77めっき",MID(D1845,5,2)="塩害","ｱﾙﾐﾅｲｽﾞ処理",MID(D1845,5,2)="酸性","重防食処理"))</f>
        <v>□270φ131t12、SS400相当、防食：HDZT77めっき</v>
      </c>
      <c r="D1880" s="208"/>
      <c r="E1880" s="209"/>
      <c r="F1880" s="217" t="str">
        <f>IF(OR(D1843=0,D1844="　",MID(D1847,1,3)&lt;&gt;"のり面"),"","n=1")</f>
        <v>n=1</v>
      </c>
      <c r="G1880" s="218"/>
      <c r="H1880" s="219"/>
      <c r="I1880" s="213" t="str">
        <f>IF(OR(D1843=0,D1844="　",B1880="",MID(D1847,1,3)&lt;&gt;"のり面"),"","枚")</f>
        <v>枚</v>
      </c>
      <c r="J1880" s="220" t="str">
        <f>IF(OR(D1843=0,D1844="　"),"",MID(F1880,3,2))</f>
        <v>1</v>
      </c>
      <c r="K1880" s="214">
        <f>IFERROR(D1843*J1880,"")</f>
        <v>10</v>
      </c>
    </row>
    <row r="1881" spans="2:11" ht="12" customHeight="1">
      <c r="B1881" s="206" t="str" cm="1">
        <f t="array" ref="B1881">_xlfn.IFS(OR(D1843=0,D1844="　"),"",MID(D1846,1,3)="アルミ","",MID(D1846,1,3)&lt;&gt;"アルミ","テンドン補修用塗料")</f>
        <v>テンドン補修用塗料</v>
      </c>
      <c r="C1881" s="210" t="str" cm="1">
        <f t="array" ref="C1881">_xlfn.IFS(OR(D1843=0,D1844="　"),"",MID(D1846,1,3)="アルミ","",MID(D1846,1,3)&lt;&gt;"アルミ","エポキシ樹脂")</f>
        <v>エポキシ樹脂</v>
      </c>
      <c r="D1881" s="208"/>
      <c r="E1881" s="209"/>
      <c r="F1881" s="217" t="str" cm="1">
        <f t="array" ref="F1881">_xlfn.IFS(OR(D1843=0,D1844="　"),"",MID(D1846,1,3)="アルミ","",MID(D1846,1,3)&lt;&gt;"アルミ","W=PC鋼より線本数×"&amp;IF(MID(D1844,4,1)="5","0.28","0.40"))</f>
        <v>W=PC鋼より線本数×0.28</v>
      </c>
      <c r="G1881" s="218"/>
      <c r="H1881" s="219"/>
      <c r="I1881" s="213" t="str" cm="1">
        <f t="array" ref="I1881">_xlfn.IFS(OR(D1843=0,D1844="　"),"",MID(D1846,1,3)="アルミ","",MID(D1846,1,3)&lt;&gt;"アルミ","g")</f>
        <v>g</v>
      </c>
      <c r="J1881" s="224" cm="1">
        <f t="array" ref="J1881">_xlfn.IFS(OR(D1843=0,D1844="　"),"",MID(D1846,1,3)="アルミ","",MID(D1846,1,3)&lt;&gt;"アルミ",MID(LEFT(D1844, LEN(D1844)-1),6,2)*IF(MID(D1844,4,1)="5",0.28,0.4))</f>
        <v>1.1200000000000001</v>
      </c>
      <c r="K1881" s="214">
        <f>IFERROR(D1843*J1881,"")</f>
        <v>11.200000000000001</v>
      </c>
    </row>
    <row r="1882" spans="2:11" ht="12" customHeight="1">
      <c r="B1882" s="206" t="str" cm="1">
        <f t="array" ref="B1882">_xlfn.IFS(OR(D1843=0,D1844="　"),"",MID(D1846,1,3)="アルミ","",MID(D1846,1,3)&lt;&gt;"アルミ","長期防錆スプレー")</f>
        <v>長期防錆スプレー</v>
      </c>
      <c r="C1882" s="210" t="str" cm="1">
        <f t="array" ref="C1882">_xlfn.IFS(OR(D1843=0,D1844="　"),"",MID(D1846,1,3)="アルミ","",MID(D1846,1,3)&lt;&gt;"アルミ","防錆オイル")</f>
        <v>防錆オイル</v>
      </c>
      <c r="D1882" s="208"/>
      <c r="E1882" s="209"/>
      <c r="F1882" s="217" t="str" cm="1">
        <f t="array" ref="F1882">_xlfn.IFS(OR(D1843=0,D1844="　"),"",MID(D1846,1,3)="アルミ","",MID(D1846,1,3)&lt;&gt;"アルミ","n=0.01×(PC鋼より線本数+"&amp;IF(MID(D1844,4,1)="5","6","12")&amp;")")</f>
        <v>n=0.01×(PC鋼より線本数+6)</v>
      </c>
      <c r="G1882" s="218"/>
      <c r="H1882" s="219"/>
      <c r="I1882" s="213" t="str" cm="1">
        <f t="array" ref="I1882">_xlfn.IFS(OR(D1843=0,D1844="　"),"",MID(D1846,1,3)="アルミ","",MID(D1846,1,3)&lt;&gt;"アルミ","缶")</f>
        <v>缶</v>
      </c>
      <c r="J1882" s="224" cm="1">
        <f t="array" ref="J1882">_xlfn.IFS(OR(D1843=0,D1844="　"),"",MID(D1846,1,3)="アルミ","",MID(D1846,1,3)&lt;&gt;"アルミ",0.01*(MID(LEFT(D1844, LEN(D1844)-1),6,2)+IF(MID(D1844,4,1)="5",6,12)))</f>
        <v>0.1</v>
      </c>
      <c r="K1882" s="214">
        <f>IFERROR(D1843*J1882,"")</f>
        <v>1</v>
      </c>
    </row>
    <row r="1883" spans="2:11" ht="12" customHeight="1">
      <c r="B1883" s="206" t="str">
        <f>IF(OR(D1843=0,D1844="　",D1849="なし"),"","フリーパッカー注入ホース")</f>
        <v/>
      </c>
      <c r="C1883" s="207" t="str">
        <f>IF(OR(D1843=0,D1844="　",B1883=""),"","16/20、高密度ポリエチレン")</f>
        <v/>
      </c>
      <c r="D1883" s="208"/>
      <c r="E1883" s="209"/>
      <c r="F1883" s="210" t="str">
        <f>IF(B1883="","","L=自由長+緊張部長")</f>
        <v/>
      </c>
      <c r="G1883" s="211"/>
      <c r="H1883" s="212"/>
      <c r="I1883" s="213" t="str">
        <f>IF(OR(D1843=0,D1844="　",B1883=""),"","m")</f>
        <v/>
      </c>
      <c r="J1883" s="214" t="str">
        <f>IF(OR(D1843=0,D1844="　"),"",IF(B1883="","",MROUND(D1853+D1854,0.1)))</f>
        <v/>
      </c>
      <c r="K1883" s="214" t="str">
        <f>IFERROR(D1843*J1883,"")</f>
        <v/>
      </c>
    </row>
    <row r="1884" spans="2:11" ht="12" customHeight="1">
      <c r="B1884" s="225" t="str">
        <f>IF(OR(D1843=0,D1844="　",D1849="なし"),"","フリーパッカー")</f>
        <v/>
      </c>
      <c r="C1884" s="217" t="str" cm="1">
        <f t="array" ref="C1884">IF(OR(D1843=0,D1844="　",B1883=""),"",_xlfn.SWITCH(D1858,90,"PA-170",115,"PA-200",135,"PA-240",146,"PA-240",165,"PA-350")&amp;"、織布")</f>
        <v/>
      </c>
      <c r="D1884" s="208"/>
      <c r="E1884" s="209"/>
      <c r="F1884" s="226" t="str">
        <f>IF(B1884="","","L=自由長+0.5m")</f>
        <v/>
      </c>
      <c r="G1884" s="227"/>
      <c r="H1884" s="228"/>
      <c r="I1884" s="213" t="str">
        <f>IF(OR(D1844=0,D1845="　",B1884=""),"","m")</f>
        <v/>
      </c>
      <c r="J1884" s="214" t="str">
        <f>IF(OR(D1843=0,D1844="　"),"",IF(B1884="","",MROUND(D1853+0.5,0.1)))</f>
        <v/>
      </c>
      <c r="K1884" s="214" t="str">
        <f>IFERROR(D1843*J1884,"")</f>
        <v/>
      </c>
    </row>
    <row r="1885" spans="2:11" ht="12" customHeight="1">
      <c r="B1885" s="206" t="str">
        <f>IF(OR(D1843=0,D1844="　",D1849="なし"),"","パッカー取付加工")</f>
        <v/>
      </c>
      <c r="C1885" s="207"/>
      <c r="D1885" s="208"/>
      <c r="E1885" s="209"/>
      <c r="F1885" s="217" t="str">
        <f>IF(B1885="","","n=1")</f>
        <v/>
      </c>
      <c r="G1885" s="218"/>
      <c r="H1885" s="219"/>
      <c r="I1885" s="213" t="str">
        <f>IF(OR(D1845=0,D1846="　",B1885=""),"","式")</f>
        <v/>
      </c>
      <c r="J1885" s="220" t="str">
        <f>IF(OR(D1843=0,D1844="　"),"",MID(F1885,3,2))</f>
        <v/>
      </c>
      <c r="K1885" s="206" t="str">
        <f>IFERROR(D1843*J1885,"")</f>
        <v/>
      </c>
    </row>
    <row r="1886" spans="2:11" ht="12" customHeight="1">
      <c r="B1886" s="229"/>
      <c r="C1886" s="230"/>
      <c r="D1886" s="231"/>
      <c r="E1886" s="232"/>
      <c r="F1886" s="233"/>
      <c r="G1886" s="234"/>
      <c r="H1886" s="235"/>
      <c r="I1886" s="236"/>
      <c r="J1886" s="237"/>
      <c r="K1886" s="229"/>
    </row>
    <row r="1887" spans="2:11" ht="12" customHeight="1">
      <c r="B1887" s="238" t="s">
        <v>30</v>
      </c>
      <c r="C1887" s="239" t="s">
        <v>31</v>
      </c>
      <c r="D1887" s="240"/>
      <c r="E1887" s="241"/>
      <c r="F1887" s="242" t="s">
        <v>157</v>
      </c>
      <c r="G1887" s="243"/>
      <c r="H1887" s="244"/>
      <c r="I1887" s="245" t="s">
        <v>55</v>
      </c>
      <c r="J1887" s="246">
        <f>IFERROR(MROUND(0.25*PI()*(0.001*D1858)^2*(D1851+D1852+D1857)*(1+2.2),0.01),"")</f>
        <v>0.17</v>
      </c>
      <c r="K1887" s="246">
        <f>IFERROR(D1843*J1887,"")</f>
        <v>1.7000000000000002</v>
      </c>
    </row>
    <row r="1889" spans="2:11" ht="12" customHeight="1">
      <c r="B1889" s="247" t="s">
        <v>136</v>
      </c>
      <c r="C1889" s="247"/>
      <c r="D1889" s="247"/>
      <c r="F1889" s="163"/>
      <c r="G1889" s="164"/>
      <c r="H1889" s="164"/>
    </row>
    <row r="1890" spans="2:11" ht="12" customHeight="1">
      <c r="B1890" s="15" t="s">
        <v>111</v>
      </c>
      <c r="C1890" s="15"/>
      <c r="D1890" s="1"/>
      <c r="E1890" s="1"/>
      <c r="H1890" s="119"/>
      <c r="J1890" s="118"/>
    </row>
    <row r="1891" spans="2:11" ht="12" customHeight="1">
      <c r="B1891" s="165" t="s">
        <v>166</v>
      </c>
      <c r="C1891" s="3"/>
      <c r="D1891" s="1"/>
      <c r="E1891" s="1"/>
      <c r="F1891" s="8"/>
      <c r="G1891" s="8"/>
      <c r="H1891" s="102"/>
      <c r="I1891" s="28"/>
      <c r="J1891" s="118"/>
    </row>
    <row r="1892" spans="2:11" ht="12" customHeight="1">
      <c r="B1892" s="15" t="s">
        <v>40</v>
      </c>
      <c r="C1892" s="3"/>
      <c r="D1892" s="1"/>
      <c r="E1892" s="1"/>
      <c r="F1892" s="15" t="s">
        <v>54</v>
      </c>
      <c r="G1892" s="15"/>
      <c r="H1892" s="102"/>
      <c r="I1892" s="28"/>
    </row>
    <row r="1893" spans="2:11" ht="12" customHeight="1">
      <c r="B1893" s="2" t="s">
        <v>53</v>
      </c>
      <c r="C1893" s="2" t="s">
        <v>21</v>
      </c>
      <c r="D1893" s="2" t="s">
        <v>22</v>
      </c>
      <c r="E1893" s="17"/>
      <c r="F1893" s="49" t="s">
        <v>41</v>
      </c>
      <c r="G1893" s="97" t="s">
        <v>59</v>
      </c>
      <c r="H1893" s="49" t="s">
        <v>44</v>
      </c>
      <c r="I1893" s="2" t="s">
        <v>21</v>
      </c>
      <c r="J1893" s="49" t="s">
        <v>138</v>
      </c>
      <c r="K1893" s="2" t="s">
        <v>28</v>
      </c>
    </row>
    <row r="1894" spans="2:11" ht="12" customHeight="1">
      <c r="B1894" s="166" t="s">
        <v>25</v>
      </c>
      <c r="C1894" s="18" t="s">
        <v>24</v>
      </c>
      <c r="D1894" s="167">
        <v>10</v>
      </c>
      <c r="E1894" s="19"/>
      <c r="F1894" s="168" t="s">
        <v>43</v>
      </c>
      <c r="G1894" s="169" t="s">
        <v>113</v>
      </c>
      <c r="H1894" s="88" t="str" cm="1">
        <f t="array" ref="H1894">_xlfn.IFS(AND(F1894&lt;&gt;"非削孔",F1894&lt;&gt;"無設定"),D1909,F1894="非削孔",IF(MID(D1898,1,3)="土留め","非削孔","箱抜き"),F1894="無設定","無設定")</f>
        <v>箱抜き</v>
      </c>
      <c r="I1894" s="23" t="str">
        <f>IF(F1894="無設定","","m")</f>
        <v>m</v>
      </c>
      <c r="J1894" s="170">
        <v>0.5</v>
      </c>
      <c r="K1894" s="30">
        <f>D1894*J1894</f>
        <v>5</v>
      </c>
    </row>
    <row r="1895" spans="2:11" ht="12" customHeight="1">
      <c r="B1895" s="171" t="s">
        <v>37</v>
      </c>
      <c r="C1895" s="50" t="s">
        <v>38</v>
      </c>
      <c r="D1895" s="172" t="s">
        <v>159</v>
      </c>
      <c r="E1895" s="173"/>
      <c r="F1895" s="174" t="s">
        <v>49</v>
      </c>
      <c r="G1895" s="169" t="s">
        <v>114</v>
      </c>
      <c r="H1895" s="88" cm="1">
        <f t="array" ref="H1895">_xlfn.IFS(AND(F1895&lt;&gt;"非削孔",F1895&lt;&gt;"無設定"),D1909,F1895="非削孔","箱抜き",F1895="無設定","無設定")</f>
        <v>90</v>
      </c>
      <c r="I1895" s="23" t="str">
        <f t="shared" ref="I1895:I1903" si="74">IF(F1895="無設定","","m")</f>
        <v>m</v>
      </c>
      <c r="J1895" s="170">
        <v>2.64</v>
      </c>
      <c r="K1895" s="30">
        <f>D1894*J1895</f>
        <v>26.400000000000002</v>
      </c>
    </row>
    <row r="1896" spans="2:11" ht="12" customHeight="1">
      <c r="B1896" s="52" t="s">
        <v>39</v>
      </c>
      <c r="C1896" s="91" t="s">
        <v>38</v>
      </c>
      <c r="D1896" s="175" t="s">
        <v>60</v>
      </c>
      <c r="E1896" s="140"/>
      <c r="F1896" s="174" t="s">
        <v>49</v>
      </c>
      <c r="G1896" s="169" t="s">
        <v>115</v>
      </c>
      <c r="H1896" s="88" cm="1">
        <f t="array" ref="H1896">_xlfn.IFS(AND(F1896&lt;&gt;"非削孔",F1896&lt;&gt;"無設定"),D1909,F1896="非削孔","箱抜き",F1896="無設定","無設定")</f>
        <v>90</v>
      </c>
      <c r="I1896" s="23" t="str">
        <f t="shared" si="74"/>
        <v>m</v>
      </c>
      <c r="J1896" s="170">
        <v>5.36</v>
      </c>
      <c r="K1896" s="30">
        <f>D1894*J1896</f>
        <v>53.6</v>
      </c>
    </row>
    <row r="1897" spans="2:11" ht="12" customHeight="1">
      <c r="B1897" s="147" t="s">
        <v>140</v>
      </c>
      <c r="C1897" s="91" t="s">
        <v>38</v>
      </c>
      <c r="D1897" s="176" t="s">
        <v>141</v>
      </c>
      <c r="E1897" s="141"/>
      <c r="F1897" s="174" t="s">
        <v>48</v>
      </c>
      <c r="G1897" s="169"/>
      <c r="H1897" s="88" t="str" cm="1">
        <f t="array" ref="H1897">_xlfn.IFS(AND(F1897&lt;&gt;"非削孔",F1897&lt;&gt;"無設定"),D1909,F1897="非削孔","箱抜き",F1897="無設定","無設定")</f>
        <v>無設定</v>
      </c>
      <c r="I1897" s="23" t="str">
        <f t="shared" si="74"/>
        <v/>
      </c>
      <c r="J1897" s="170">
        <v>0</v>
      </c>
      <c r="K1897" s="30">
        <f>D1894*J1897</f>
        <v>0</v>
      </c>
    </row>
    <row r="1898" spans="2:11" ht="12" customHeight="1">
      <c r="B1898" s="147" t="s">
        <v>142</v>
      </c>
      <c r="C1898" s="91" t="s">
        <v>38</v>
      </c>
      <c r="D1898" s="177" t="s">
        <v>160</v>
      </c>
      <c r="E1898" s="21"/>
      <c r="F1898" s="174" t="s">
        <v>48</v>
      </c>
      <c r="G1898" s="169"/>
      <c r="H1898" s="88" t="str" cm="1">
        <f t="array" ref="H1898">_xlfn.IFS(AND(F1898&lt;&gt;"非削孔",F1898&lt;&gt;"無設定"),D1909,F1898="非削孔","箱抜き",F1898="無設定","無設定")</f>
        <v>無設定</v>
      </c>
      <c r="I1898" s="23" t="str">
        <f t="shared" si="74"/>
        <v/>
      </c>
      <c r="J1898" s="170">
        <v>0</v>
      </c>
      <c r="K1898" s="30">
        <f>D1894*J1898</f>
        <v>0</v>
      </c>
    </row>
    <row r="1899" spans="2:11" ht="12" customHeight="1">
      <c r="B1899" s="114" t="str">
        <f>IF(MID(D1898,1,3)="土留め",D1898&amp;"の種類","")</f>
        <v/>
      </c>
      <c r="C1899" s="91" t="s">
        <v>38</v>
      </c>
      <c r="D1899" s="178" t="s">
        <v>71</v>
      </c>
      <c r="E1899" s="21"/>
      <c r="F1899" s="174" t="s">
        <v>48</v>
      </c>
      <c r="G1899" s="169"/>
      <c r="H1899" s="88" t="str" cm="1">
        <f t="array" ref="H1899">_xlfn.IFS(AND(F1899&lt;&gt;"非削孔",F1899&lt;&gt;"無設定"),D1909,F1899="非削孔","箱抜き",F1899="無設定","無設定")</f>
        <v>無設定</v>
      </c>
      <c r="I1899" s="23" t="str">
        <f t="shared" si="74"/>
        <v/>
      </c>
      <c r="J1899" s="170">
        <v>0</v>
      </c>
      <c r="K1899" s="30">
        <f>D1894*J1899</f>
        <v>0</v>
      </c>
    </row>
    <row r="1900" spans="2:11" ht="12" customHeight="1">
      <c r="B1900" s="179" t="s">
        <v>50</v>
      </c>
      <c r="C1900" s="180" t="s">
        <v>38</v>
      </c>
      <c r="D1900" s="181" t="s">
        <v>51</v>
      </c>
      <c r="E1900" s="182"/>
      <c r="F1900" s="174" t="s">
        <v>48</v>
      </c>
      <c r="G1900" s="169"/>
      <c r="H1900" s="88" t="str" cm="1">
        <f t="array" ref="H1900">_xlfn.IFS(AND(F1900&lt;&gt;"非削孔",F1900&lt;&gt;"無設定"),D1909,F1900="非削孔","箱抜き",F1900="無設定","無設定")</f>
        <v>無設定</v>
      </c>
      <c r="I1900" s="23" t="str">
        <f t="shared" si="74"/>
        <v/>
      </c>
      <c r="J1900" s="170">
        <v>0</v>
      </c>
      <c r="K1900" s="30">
        <f>D1894*J1900</f>
        <v>0</v>
      </c>
    </row>
    <row r="1901" spans="2:11" ht="12" customHeight="1">
      <c r="B1901" s="160" t="str" cm="1">
        <f t="array" ref="B1901">"頭部自由長"&amp;_xlfn.IFS(MID(D1898,1,2)="なし","",MID(D1898,1,3)="受圧体","(受圧体)",MID(D1898,1,3)="のり面","(角度台座＋受圧体)",MID(D1898,1,3)="構造物","(壁面台座)",MID(D1898,1,3)="土留め","(台座+腹起し)")&amp;"　Lfh"</f>
        <v>頭部自由長(角度台座＋受圧体)　Lfh</v>
      </c>
      <c r="C1901" s="155" t="s">
        <v>23</v>
      </c>
      <c r="D1901" s="183">
        <v>0.5</v>
      </c>
      <c r="E1901" s="21"/>
      <c r="F1901" s="174" t="s">
        <v>144</v>
      </c>
      <c r="G1901" s="169"/>
      <c r="H1901" s="88" cm="1">
        <f t="array" ref="H1901">_xlfn.IFS(AND(F1901&lt;&gt;"非削孔",F1901&lt;&gt;"無設定"),D1909,F1901="非削孔","箱抜き",F1901="無設定","無設定")</f>
        <v>90</v>
      </c>
      <c r="I1901" s="23" t="str">
        <f t="shared" si="74"/>
        <v>m</v>
      </c>
      <c r="J1901" s="170">
        <v>0</v>
      </c>
      <c r="K1901" s="30">
        <f>D1894*J1901</f>
        <v>0</v>
      </c>
    </row>
    <row r="1902" spans="2:11" ht="12" customHeight="1">
      <c r="B1902" s="22" t="s">
        <v>108</v>
      </c>
      <c r="C1902" s="23" t="s">
        <v>23</v>
      </c>
      <c r="D1902" s="184">
        <v>4</v>
      </c>
      <c r="E1902" s="21"/>
      <c r="F1902" s="174" t="s">
        <v>48</v>
      </c>
      <c r="G1902" s="169"/>
      <c r="H1902" s="88" t="str" cm="1">
        <f t="array" ref="H1902">_xlfn.IFS(AND(F1902&lt;&gt;"非削孔",F1902&lt;&gt;"無設定"),D1909,F1902="非削孔","箱抜き",F1902="無設定","無設定")</f>
        <v>無設定</v>
      </c>
      <c r="I1902" s="23" t="str">
        <f t="shared" si="74"/>
        <v/>
      </c>
      <c r="J1902" s="170">
        <v>0</v>
      </c>
      <c r="K1902" s="30">
        <f>D1894*J1902</f>
        <v>0</v>
      </c>
    </row>
    <row r="1903" spans="2:11" ht="12" customHeight="1">
      <c r="B1903" s="157" t="s">
        <v>36</v>
      </c>
      <c r="C1903" s="158" t="s">
        <v>23</v>
      </c>
      <c r="D1903" s="185">
        <v>4</v>
      </c>
      <c r="F1903" s="186" t="str" cm="1">
        <f t="array" ref="F1903">INDEX(F1894:H1902,MATCH("無設定",F1894:F1902,0)-1,MATCH(F1893,F1893:H1893,0))</f>
        <v>軟　岩</v>
      </c>
      <c r="G1903" s="100" t="str" cm="1">
        <f t="array" ref="G1903">INDEX(F1894:H1902,MATCH("無設定",F1894:F1902,0)-1,MATCH(G1893,F1893:H1893,0))&amp;"　(先端長 L2d)"</f>
        <v>風化岩 CL　(先端長 L2d)</v>
      </c>
      <c r="H1903" s="88" cm="1">
        <f t="array" ref="H1903">INDEX(F1894:H1902,MATCH("無設定",F1894:F1902,0)-1,MATCH(H1893,F1893:H1893,0))</f>
        <v>90</v>
      </c>
      <c r="I1903" s="23" t="str">
        <f t="shared" si="74"/>
        <v>m</v>
      </c>
      <c r="J1903" s="98">
        <f>D1908</f>
        <v>0.25</v>
      </c>
      <c r="K1903" s="78">
        <f>IFERROR(D1894*J1903,"")</f>
        <v>2.5</v>
      </c>
    </row>
    <row r="1904" spans="2:11" ht="12" customHeight="1">
      <c r="B1904" s="154" t="s">
        <v>145</v>
      </c>
      <c r="C1904" s="155" t="s">
        <v>23</v>
      </c>
      <c r="D1904" s="187">
        <f>IF(OR(D1894=0,D1895="　"),"──",SUM(D1901:D1902))</f>
        <v>4.5</v>
      </c>
      <c r="E1904" s="19"/>
      <c r="F1904" s="188"/>
      <c r="G1904" s="75" t="s">
        <v>124</v>
      </c>
      <c r="H1904" s="103"/>
      <c r="I1904" s="18" t="s">
        <v>23</v>
      </c>
      <c r="J1904" s="74">
        <f>SUMIFS(J1894:J1903,F1894:F1903,"&lt;&gt;非削孔",F1894:F1903,"&lt;&gt;無設定")</f>
        <v>8.25</v>
      </c>
      <c r="K1904" s="95">
        <f>SUMIFS(K1894:K1903,F1894:F1903,"&lt;&gt;非削孔",F1894:F1903,"&lt;&gt;無設定")</f>
        <v>82.5</v>
      </c>
    </row>
    <row r="1905" spans="2:11" ht="12" customHeight="1">
      <c r="B1905" s="146" t="s">
        <v>146</v>
      </c>
      <c r="C1905" s="23" t="s">
        <v>23</v>
      </c>
      <c r="D1905" s="189" cm="1">
        <f t="array" ref="D1905">IF(OR(D1894=0,D1895="　"),"──",IF(MID(D1895,4,1)="5",_xlfn.IFS(1*MID(LEFT(D1895, LEN(D1895)-1),6,2)&lt;8,1,1*MID(LEFT(D1895, LEN(D1895)-1),6,2)&lt;13,1.2),_xlfn.IFS(1*MID(LEFT(D1895, LEN(D1895)-1),6,2)&lt;6,1,1*MID(LEFT(D1895, LEN(D1895)-1),6,2)&lt;15,1.2)))</f>
        <v>1</v>
      </c>
      <c r="E1905" s="19"/>
      <c r="F1905" s="190"/>
      <c r="G1905" s="76" t="s">
        <v>47</v>
      </c>
      <c r="H1905" s="104"/>
      <c r="I1905" s="79" t="s">
        <v>46</v>
      </c>
      <c r="J1905" s="77" t="str">
        <f>IF(OR(D1894=0,D1895="　"),"",IF(SUM(D1902:D1903,D1908)=J1904,"OK","NG"))</f>
        <v>OK</v>
      </c>
      <c r="K1905" s="145" t="str">
        <f>IF(J1905&lt;&gt;"NG","──",J1904-SUM(D1902:D1903,D1908))</f>
        <v>──</v>
      </c>
    </row>
    <row r="1906" spans="2:11" ht="12" customHeight="1">
      <c r="B1906" s="22" t="s">
        <v>125</v>
      </c>
      <c r="C1906" s="23" t="s">
        <v>35</v>
      </c>
      <c r="D1906" s="84">
        <f>IF(OR(D1894=0,D1895="　"),"──",0.2)</f>
        <v>0.2</v>
      </c>
      <c r="F1906" s="191" t="s">
        <v>58</v>
      </c>
      <c r="G1906" s="248" t="s">
        <v>110</v>
      </c>
      <c r="H1906" s="249"/>
      <c r="I1906" s="249"/>
      <c r="J1906" s="249"/>
      <c r="K1906" s="250"/>
    </row>
    <row r="1907" spans="2:11" ht="12" customHeight="1">
      <c r="B1907" s="6" t="s">
        <v>147</v>
      </c>
      <c r="C1907" s="23" t="s">
        <v>23</v>
      </c>
      <c r="D1907" s="60">
        <f>IF(OR(D1894=0,D1895="　"),"──",SUM(D1903:D1906))</f>
        <v>9.6999999999999993</v>
      </c>
    </row>
    <row r="1908" spans="2:11" ht="12" customHeight="1">
      <c r="B1908" s="25" t="s">
        <v>127</v>
      </c>
      <c r="C1908" s="26" t="s">
        <v>23</v>
      </c>
      <c r="D1908" s="27">
        <f>IF(OR(D1894=0,D1895="　"),"──",0.25)</f>
        <v>0.25</v>
      </c>
      <c r="F1908" s="8"/>
      <c r="G1908" s="8"/>
      <c r="H1908" s="102"/>
    </row>
    <row r="1909" spans="2:11" ht="12" customHeight="1">
      <c r="B1909" s="95" t="s">
        <v>123</v>
      </c>
      <c r="C1909" s="18" t="s">
        <v>32</v>
      </c>
      <c r="D1909" s="192">
        <v>90</v>
      </c>
      <c r="E1909" s="193" t="str">
        <f>IF(D1909&lt;D1910,"NG：削孔径不適合","")</f>
        <v/>
      </c>
      <c r="F1909" s="8"/>
      <c r="G1909" s="8"/>
      <c r="H1909" s="102"/>
    </row>
    <row r="1910" spans="2:11" ht="12" customHeight="1">
      <c r="B1910" s="25" t="s">
        <v>122</v>
      </c>
      <c r="C1910" s="26" t="s">
        <v>32</v>
      </c>
      <c r="D1910" s="194" cm="1">
        <f t="array" ref="D1910">IF(OR(D1894=0,D1895="　"),"──",IF(D1900="なし",IF(MID(D1895,4,1)="5",_xlfn.IFS(1*MID(LEFT(D1895, LEN(D1895)-1),6,2)&lt;6,90,1*MID(LEFT(D1895, LEN(D1895)-1),6,2)&lt;9,115,1*MID(LEFT(D1895, LEN(D1895)-1),6,2)&gt;8,135),_xlfn.IFS(1*MID(LEFT(D1895, LEN(D1895)-1),6,2)&lt;4,90,1*MID(LEFT(D1895, LEN(D1895)-1),6,2)&lt;7,115,1*MID(LEFT(D1895, LEN(D1895)-1),6,2)&lt;10,135,1*MID(LEFT(D1895, LEN(D1895)-1),6,2)&lt;13,146,1*MID(LEFT(D1895, LEN(D1895)-1),6,2)&gt;12,165)),IF(MID(D1895,4,1)="5",_xlfn.IFS(1*MID(LEFT(D1895, LEN(D1895)-1),6,2)&lt;3,90,1*MID(LEFT(D1895, LEN(D1895)-1),6,2)&lt;7,115,1*MID(LEFT(D1895, LEN(D1895)-1),6,2)&lt;9,135,1*MID(LEFT(D1895, LEN(D1895)-1),6,2)&gt;8,146),_xlfn.IFS(1*MID(LEFT(D1895, LEN(D1895)-1),6,2)&lt;3,90,1*MID(LEFT(D1895, LEN(D1895)-1),6,2)&lt;4,115,1*MID(LEFT(D1895, LEN(D1895)-1),6,2)&lt;6,135,1*MID(LEFT(D1895, LEN(D1895)-1),6,2)&lt;10,146,1*MID(LEFT(D1895, LEN(D1895)-1),6,2)&lt;13,165,1*MID(LEFT(D1895, LEN(D1895)-1),6,2)&gt;12,216))))</f>
        <v>90</v>
      </c>
      <c r="E1910" s="195"/>
      <c r="F1910" s="8"/>
      <c r="G1910" s="8"/>
      <c r="H1910" s="102"/>
    </row>
    <row r="1911" spans="2:11" ht="12" customHeight="1">
      <c r="B1911" s="20"/>
      <c r="C1911" s="46"/>
      <c r="D1911" s="117"/>
      <c r="F1911" s="8"/>
      <c r="G1911" s="8"/>
      <c r="H1911" s="102"/>
    </row>
    <row r="1912" spans="2:11" ht="12" customHeight="1">
      <c r="B1912" s="15" t="str">
        <f>"■"&amp;MID(B1889,2,14)</f>
        <v>■本設：EHDアンカーHP工法</v>
      </c>
      <c r="C1912" s="3"/>
      <c r="D1912" s="1"/>
      <c r="E1912" s="1"/>
      <c r="F1912" s="8"/>
      <c r="G1912" s="8"/>
      <c r="H1912" s="102"/>
    </row>
    <row r="1913" spans="2:11" ht="12" customHeight="1">
      <c r="B1913" s="2" t="s">
        <v>17</v>
      </c>
      <c r="C1913" s="43"/>
      <c r="D1913" s="196" t="s">
        <v>148</v>
      </c>
      <c r="E1913" s="135"/>
      <c r="F1913" s="16"/>
      <c r="G1913" s="61" t="s">
        <v>42</v>
      </c>
      <c r="H1913" s="97"/>
      <c r="I1913" s="2" t="s">
        <v>21</v>
      </c>
      <c r="J1913" s="49" t="s">
        <v>149</v>
      </c>
      <c r="K1913" s="2" t="s">
        <v>28</v>
      </c>
    </row>
    <row r="1914" spans="2:11" ht="12" customHeight="1">
      <c r="B1914" s="197" t="s">
        <v>150</v>
      </c>
      <c r="C1914" s="198" t="str">
        <f>IF(OR(D1894=0,D1895="　"),"",D1895&amp;" ("&amp;MID(LEFT(D1895, LEN(D1895)-1),6,2)&amp;IF(MID(D1895,4,1)="5","φ12.7","φ15.2")&amp;")")</f>
        <v>EHD5-4H (4φ12.7)</v>
      </c>
      <c r="D1914" s="199"/>
      <c r="E1914" s="200"/>
      <c r="F1914" s="201" t="str">
        <f>"W=テンドン長×PC鋼より線本数×"&amp;IF(MID(D1895,4,1)="5","0.774","1.101")&amp;"kg/m"</f>
        <v>W=テンドン長×PC鋼より線本数×0.774kg/m</v>
      </c>
      <c r="G1914" s="202"/>
      <c r="H1914" s="203"/>
      <c r="I1914" s="204" t="s">
        <v>11</v>
      </c>
      <c r="J1914" s="205">
        <f>IF(OR(D1894=0,D1895="　"),"",MROUND(D1907*MID(LEFT(D1895, LEN(D1895)-1),6,2)*IF(MID(D1895,4,1)="5","0.774","1.101"),0.01))</f>
        <v>30.03</v>
      </c>
      <c r="K1914" s="205">
        <f>IFERROR(D1894*J1914,"")</f>
        <v>300.3</v>
      </c>
    </row>
    <row r="1915" spans="2:11" ht="12" customHeight="1">
      <c r="B1915" s="206" t="s">
        <v>151</v>
      </c>
      <c r="C1915" s="207"/>
      <c r="D1915" s="208"/>
      <c r="E1915" s="209"/>
      <c r="F1915" s="210" t="s">
        <v>33</v>
      </c>
      <c r="G1915" s="211"/>
      <c r="H1915" s="212"/>
      <c r="I1915" s="213" t="s">
        <v>12</v>
      </c>
      <c r="J1915" s="214">
        <f>IF(OR(D1894=0,D1895="　"),"",MROUND(D1907,0.1))</f>
        <v>9.7000000000000011</v>
      </c>
      <c r="K1915" s="214">
        <f>IFERROR(D1894*J1915,"")</f>
        <v>97.000000000000014</v>
      </c>
    </row>
    <row r="1916" spans="2:11" ht="12" customHeight="1">
      <c r="B1916" s="206" t="str">
        <f>"頭部キャップ"</f>
        <v>頭部キャップ</v>
      </c>
      <c r="C1916" s="207" t="str" cm="1">
        <f t="array" ref="C1916">IF(OR(D1894=0,D1895="　"),"",IF(MID(D1895,4,1)="5",_xlfn.SWITCH(1*MID(LEFT(D1895, LEN(D1895)-1),6,2),1,"S",2,"S",3,"S",4,"S",5,"M",6,"M",7,"M",8,"L",9,"L",10,"L",11,"L",12,"L"),_xlfn.SWITCH(1*MID(LEFT(D1895, LEN(D1895)-1),6,2),1,"S",2,"S",3,"M",4,"M",5,"L",6,"L",7,"L",8,"LL",9,"LL",10,"LL",11,"LL",12,"LL",13,"LL",14,"LL"))&amp;"型"&amp;D1897&amp;IF(OR(MID(D1897,1,2)="透明",MID(D1897,1,2)="5窓"),"、PC樹脂","")&amp;"、ｱﾙﾐAC4C相当"&amp;_xlfn.IFS(MID(D1896,1,3)="防食Ⅱ","",MID(D1896,5,2)="塩害","、防食：ﾀｹｺｰﾄ処理",MID(D1896,5,2)="酸性","、防食：重防食処理"))</f>
        <v>S型透明キャップ、PC樹脂、ｱﾙﾐAC4C相当</v>
      </c>
      <c r="D1916" s="215"/>
      <c r="E1916" s="216"/>
      <c r="F1916" s="217" t="str">
        <f t="shared" ref="F1916:F1922" si="75">"n=1"</f>
        <v>n=1</v>
      </c>
      <c r="G1916" s="218"/>
      <c r="H1916" s="219"/>
      <c r="I1916" s="213" t="s">
        <v>13</v>
      </c>
      <c r="J1916" s="220" t="str">
        <f>IF(OR(D1894=0,D1895="　"),"",MID(F1916,3,2))</f>
        <v>1</v>
      </c>
      <c r="K1916" s="214">
        <f>IFERROR(D1894*J1916,"")</f>
        <v>10</v>
      </c>
    </row>
    <row r="1917" spans="2:11" ht="12" customHeight="1">
      <c r="B1917" s="206" t="s">
        <v>5</v>
      </c>
      <c r="C1917" s="207" t="str" cm="1">
        <f t="array" ref="C1917">IF(OR(D1894=0,D1895="　"),"",IF(MID(D1895,4,1)="5","G5"&amp;_xlfn.SWITCH(1*MID(LEFT(D1895, LEN(D1895)-1),6,2),1,"01",2,"02",3,"03",4,"04",5,"07",6,"07",7,"07",8,"09",9,"09",10,"12",11,"12",12,"12"),"G6"&amp;_xlfn.SWITCH(1*MID(LEFT(D1895, LEN(D1895)-1),6,2),1,"01",2,"02",3,"03",4,"04",5,"07",6,"07",7,"07",8,"09",9,"09",10,"12",11,"12",12,"12",13,"14",14,"14"))&amp;"、S45C相当"&amp;IF(MID(D1897,1,3)&lt;&gt;"アルミ","、防食：無電解Niめっき",""))</f>
        <v>G504、S45C相当、防食：無電解Niめっき</v>
      </c>
      <c r="D1917" s="208"/>
      <c r="E1917" s="209"/>
      <c r="F1917" s="217" t="str">
        <f t="shared" si="75"/>
        <v>n=1</v>
      </c>
      <c r="G1917" s="218"/>
      <c r="H1917" s="219"/>
      <c r="I1917" s="213" t="s">
        <v>13</v>
      </c>
      <c r="J1917" s="220" t="str">
        <f>IF(OR(D1894=0,D1895="　"),"",MID(F1917,3,2))</f>
        <v>1</v>
      </c>
      <c r="K1917" s="214">
        <f>IFERROR(D1894*J1917,"")</f>
        <v>10</v>
      </c>
    </row>
    <row r="1918" spans="2:11" ht="12" customHeight="1">
      <c r="B1918" s="206" t="s">
        <v>152</v>
      </c>
      <c r="C1918" s="207" t="str" cm="1">
        <f t="array" ref="C1918">IF(OR(D1894=0,D1895="　"),"",IF(MID(D1895,4,1)="5","G5"&amp;_xlfn.SWITCH(1*MID(LEFT(D1895, LEN(D1895)-1),6,2),1,"01",2,"02",3,"03",4,"04",5,"07",6,"07",7,"07",8,"09",9,"09",10,"12",11,"12",12,"12"),"G6"&amp;_xlfn.SWITCH(1*MID(LEFT(D1895, LEN(D1895)-1),6,2),1,"01",2,"02",3,"03",4,"04",5,"07",6,"07",7,"07",8,"09",9,"09",10,"12",11,"12",12,"12",13,"14",14,"14"))&amp;"、S45C相当"&amp;IF(MID(D1897,1,3)&lt;&gt;"アルミ","、防食：無電解Niめっき",""))</f>
        <v>G504、S45C相当、防食：無電解Niめっき</v>
      </c>
      <c r="D1918" s="208"/>
      <c r="E1918" s="209"/>
      <c r="F1918" s="217" t="str">
        <f t="shared" si="75"/>
        <v>n=1</v>
      </c>
      <c r="G1918" s="218"/>
      <c r="H1918" s="219"/>
      <c r="I1918" s="213" t="s">
        <v>13</v>
      </c>
      <c r="J1918" s="220" t="str">
        <f>IF(OR(D1894=0,D1895="　"),"",MID(F1918,3,2))</f>
        <v>1</v>
      </c>
      <c r="K1918" s="214">
        <f>IFERROR(D1894*J1918,"")</f>
        <v>10</v>
      </c>
    </row>
    <row r="1919" spans="2:11" ht="12" customHeight="1">
      <c r="B1919" s="206" t="s">
        <v>7</v>
      </c>
      <c r="C1919" s="207" t="str">
        <f>IF(OR(D1894=0,D1895="　"),"",IF(1*MID(D1895,4,1)=5,"ECF12.7","ECF15.2")&amp;"、SCM415相当"&amp;IF(MID(D1897,1,3)&lt;&gt;"アルミ","、防食：無電解Niめっき",""))</f>
        <v>ECF12.7、SCM415相当、防食：無電解Niめっき</v>
      </c>
      <c r="D1919" s="208"/>
      <c r="E1919" s="209"/>
      <c r="F1919" s="217" t="str">
        <f t="shared" si="75"/>
        <v>n=1</v>
      </c>
      <c r="G1919" s="218"/>
      <c r="H1919" s="219"/>
      <c r="I1919" s="213" t="s">
        <v>27</v>
      </c>
      <c r="J1919" s="220" t="str">
        <f>IF(OR(D1894=0,D1895="　"),"",MID(F1919,3,2))</f>
        <v>1</v>
      </c>
      <c r="K1919" s="214">
        <f>IFERROR(D1894*J1919,"")</f>
        <v>10</v>
      </c>
    </row>
    <row r="1920" spans="2:11" ht="12" customHeight="1">
      <c r="B1920" s="206" t="s">
        <v>153</v>
      </c>
      <c r="C1920" s="207" t="str" cm="1">
        <f t="array" ref="C1920">IF(OR(D1894=0,D1895="　"),"",IF(MID(D1895,4,1)="5","G5"&amp;_xlfn.SWITCH(1*MID(LEFT(D1895, LEN(D1895)-1),6,2),1,"01",2,"04",3,"03",4,"04",5,"07",6,"07",7,"07",8,"12",9,"12",10,"12",11,"12",12,"12"),"G6"&amp;_xlfn.SWITCH(1*MID(LEFT(D1895, LEN(D1895)-1),6,2),1,"01",2,"02",3,"03",4,"04",5,"07",6,"07",7,"07",8,"12",9,"12",10,"12",11,"12",12,"12",13,"14",14,"14"))&amp;"、SS400相当、防食："&amp;_xlfn.IFS(MID(D1896,1,3)="防食Ⅱ","HDZT77めっき",MID(D1896,5,2)="塩害","ｱﾙﾐﾅｲｽﾞ処理",MID(D1896,5,2)="酸性","重防食処理"))</f>
        <v>G504、SS400相当、防食：HDZT77めっき</v>
      </c>
      <c r="D1920" s="208"/>
      <c r="E1920" s="209"/>
      <c r="F1920" s="217" t="str">
        <f t="shared" si="75"/>
        <v>n=1</v>
      </c>
      <c r="G1920" s="218"/>
      <c r="H1920" s="219"/>
      <c r="I1920" s="213" t="s">
        <v>16</v>
      </c>
      <c r="J1920" s="220" t="str">
        <f>IF(OR(D1894=0,D1895="　"),"",MID(F1920,3,2))</f>
        <v>1</v>
      </c>
      <c r="K1920" s="214">
        <f>IFERROR(D1894*J1920,"")</f>
        <v>10</v>
      </c>
    </row>
    <row r="1921" spans="2:11" ht="12" customHeight="1">
      <c r="B1921" s="206" t="str">
        <f>IF(MID(D1898,1,3)="のり面","管付","")&amp;"支圧板"</f>
        <v>管付支圧板</v>
      </c>
      <c r="C1921" s="221" t="str" cm="1">
        <f t="array" ref="C1921">IF(OR(D1894=0,D1895="　"),"","PL"&amp;IF(MID(D1898,1,3)="のり面","P","")&amp;IF(MID(D1895,4,1)="5","5-"&amp;_xlfn.SWITCH(1*MID(LEFT(D1895, LEN(D1895)-1),6,2),1,"1",2,"2",3,"3",4,"4",5,"5",6,"6",7,"7",8,"9",9,"9",10,"10",11,"11",12,"12"),"6-"&amp;_xlfn.SWITCH(1*MID(LEFT(D1895, LEN(D1895)-1),6,2),1,"1",2,"2",3,"3",4,"4",5,"6",6,"6",7,"7",8,"8",9,"9",10,"10",11,"11",12,"12",13,"14",14,"14"))&amp;"、SS400相当、防食："&amp;_xlfn.IFS(MID(D1896,1,3)="防食Ⅱ","HDZT77めっき",MID(D1896,5,2)="塩害","ｱﾙﾐﾅｲｽﾞ処理",MID(D1896,5,2)="酸性","重防食処理"))</f>
        <v>PLP5-4、SS400相当、防食：HDZT77めっき</v>
      </c>
      <c r="D1921" s="208"/>
      <c r="E1921" s="209"/>
      <c r="F1921" s="217" t="str">
        <f t="shared" si="75"/>
        <v>n=1</v>
      </c>
      <c r="G1921" s="218"/>
      <c r="H1921" s="219"/>
      <c r="I1921" s="213" t="s">
        <v>16</v>
      </c>
      <c r="J1921" s="220" t="str">
        <f>IF(OR(D1894=0,D1895="　"),"",MID(F1921,3,2))</f>
        <v>1</v>
      </c>
      <c r="K1921" s="214">
        <f>IFERROR(D1894*J1921,"")</f>
        <v>10</v>
      </c>
    </row>
    <row r="1922" spans="2:11" ht="12" customHeight="1">
      <c r="B1922" s="206" t="s">
        <v>154</v>
      </c>
      <c r="C1922" s="207" t="str">
        <f>IF(OR(D1894=0,D1895="　"),"","G"&amp;MID(LEFT(D1895, LEN(D1895)-1),4,4)&amp;"、NBR45相当")</f>
        <v>G5-4、NBR45相当</v>
      </c>
      <c r="D1922" s="208"/>
      <c r="E1922" s="209"/>
      <c r="F1922" s="217" t="str">
        <f t="shared" si="75"/>
        <v>n=1</v>
      </c>
      <c r="G1922" s="218"/>
      <c r="H1922" s="219"/>
      <c r="I1922" s="213" t="s">
        <v>13</v>
      </c>
      <c r="J1922" s="220" t="str">
        <f>IF(OR(D1894=0,D1895="　"),"",MID(F1922,3,2))</f>
        <v>1</v>
      </c>
      <c r="K1922" s="214">
        <f>IFERROR(D1894*J1922,"")</f>
        <v>10</v>
      </c>
    </row>
    <row r="1923" spans="2:11" ht="12" customHeight="1">
      <c r="B1923" s="206" t="str" cm="1">
        <f t="array" ref="B1923">_xlfn.IFS(OR(D1894=0,D1895="　"),"",MID(D1897,1,3)="アルミ","頭部防錆油",MID(D1897,1,3)&lt;&gt;"アルミ","余長キャップ")</f>
        <v>余長キャップ</v>
      </c>
      <c r="C1923" s="221" t="str" cm="1">
        <f t="array" ref="C1923">_xlfn.IFS(OR(D1894=0,D1895="　"),"",MID(D1897,1,3)="アルミ","PCコートC",MID(D1897,1,3)&lt;&gt;"アルミ","TC"&amp;MID(D1895,4,1)&amp;"、高密度ポチエチレン")</f>
        <v>TC5、高密度ポチエチレン</v>
      </c>
      <c r="D1923" s="208"/>
      <c r="E1923" s="209"/>
      <c r="F1923" s="217" t="str" cm="1">
        <f t="array" ref="F1923">_xlfn.IFS(OR(D1894=0,D1895="　"),"",MID(D1897,1,3)="アルミ","W="&amp;IF(MID(D1895,4,1)="5",_xlfn.SWITCH(1*MID(LEFT(D1895, LEN(D1895)-1),6,2),1,1.9,2,1.3,3,1.3,4,1.3,5,1.6,6,1.6,7,1.6,8,3.1,9,3.1,10,3.1,11,3.1,12,3.1),"G6"&amp;_xlfn.SWITCH(1*MID(LEFT(D1895, LEN(D1895)-1),6,2),1,1.8,2,1.3,3,1.8,4,1.8,5,3.3,6,3.3,7,3.3,8,9.9,9,9.9,10,9.9,11,9.9,12,9.9,13,9.9,14,9.9)),MID(D1897,1,3)&lt;&gt;"アルミ","n=1")</f>
        <v>n=1</v>
      </c>
      <c r="G1923" s="218"/>
      <c r="H1923" s="219"/>
      <c r="I1923" s="213" t="str" cm="1">
        <f t="array" ref="I1923">_xlfn.IFS(OR(D1894=0,D1895="　"),"",MID(D1897,1,3)="アルミ","kg",MID(D1897,1,3)&lt;&gt;"アルミ","式")</f>
        <v>式</v>
      </c>
      <c r="J1923" s="220" t="str">
        <f>IF(OR(D1894=0,D1895="　"),"",MID(F1923,3,4))</f>
        <v>1</v>
      </c>
      <c r="K1923" s="214">
        <f>IFERROR(D1894*J1923,"")</f>
        <v>10</v>
      </c>
    </row>
    <row r="1924" spans="2:11" ht="12" customHeight="1">
      <c r="B1924" s="206" t="s">
        <v>9</v>
      </c>
      <c r="C1924" s="207" t="str" cm="1">
        <f t="array" ref="C1924">IF(OR(D1894=0,D1895="　"),"",IF(MID(D1895,4,1)="5","PS5-"&amp;_xlfn.SWITCH(1*MID(LEFT(D1895, LEN(D1895)-1),6,2),1,"7",2,"2",3,"3",4,"4",5,"7",6,"7",7,"7",8,"12",9,"12",10,"12",11,"12",12,"12"),"PS6-"&amp;_xlfn.SWITCH(1*MID(LEFT(D1895, LEN(D1895)-1),6,2),1,"7",2,"2",3,"3",4,"4",5,"7",6,"7",7,"7",8,"12",9,"12",10,"12",11,"12",12,"12",13,"14",14,"14"))&amp;"、高密度ポリエチレン")</f>
        <v>PS5-4、高密度ポリエチレン</v>
      </c>
      <c r="D1924" s="208"/>
      <c r="E1924" s="209"/>
      <c r="F1924" s="217" t="str">
        <f>"n=2"</f>
        <v>n=2</v>
      </c>
      <c r="G1924" s="218"/>
      <c r="H1924" s="219"/>
      <c r="I1924" s="213" t="s">
        <v>13</v>
      </c>
      <c r="J1924" s="220" t="str">
        <f>IF(OR(D1894=0,D1895="　"),"",MID(F1924,3,2))</f>
        <v>2</v>
      </c>
      <c r="K1924" s="214">
        <f>IFERROR(D1894*J1924,"")</f>
        <v>20</v>
      </c>
    </row>
    <row r="1925" spans="2:11" ht="12" customHeight="1">
      <c r="B1925" s="206" t="s">
        <v>2</v>
      </c>
      <c r="C1925" s="207" t="str" cm="1">
        <f t="array" ref="C1925">IF(OR(D1894=0,D1895="　"),"",IF(MID(D1895,4,1)="5","S5-"&amp;_xlfn.IFS(1*MID(LEFT(D1895, LEN(D1895)-1),6,2)&lt;6,"5",1*MID(LEFT(D1895, LEN(D1895)-1),6,2)&lt;9,"8",1*MID(LEFT(D1895, LEN(D1895)-1),6,2)&gt;8,"12"),"S6-"&amp;_xlfn.IFS(1*MID(LEFT(D1895, LEN(D1895)-1),6,2)&lt;4,"3",1*MID(LEFT(D1895, LEN(D1895)-1),6,2)&lt;7,"6",1*MID(LEFT(D1895, LEN(D1895)-1),6,2)&lt;10,"9",1*MID(LEFT(D1895, LEN(D1895)-1),6,2)&lt;13,"12",1*MID(LEFT(D1895, LEN(D1895)-1),6,2)&gt;12,"14"))&amp;"、ポリプロピレン")</f>
        <v>S5-5、ポリプロピレン</v>
      </c>
      <c r="D1925" s="208"/>
      <c r="E1925" s="209"/>
      <c r="F1925" s="222" t="s">
        <v>155</v>
      </c>
      <c r="G1925" s="211"/>
      <c r="H1925" s="212"/>
      <c r="I1925" s="213" t="s">
        <v>13</v>
      </c>
      <c r="J1925" s="206">
        <f>IF(OR(D1894=0,D1895="　"),"",MROUND((D1903-0.4)/1,1))</f>
        <v>4</v>
      </c>
      <c r="K1925" s="214">
        <f>IFERROR(D1894*J1925,"")</f>
        <v>40</v>
      </c>
    </row>
    <row r="1926" spans="2:11" ht="12" customHeight="1">
      <c r="B1926" s="206" t="s">
        <v>1</v>
      </c>
      <c r="C1926" s="207" t="str" cm="1">
        <f t="array" ref="C1926">IF(OR(D1894=0,D1895="　"),"",IF(MID(D1895,4,1)="5","PC5-"&amp;_xlfn.IFS(1*MID(LEFT(D1895, LEN(D1895)-1),6,2)&lt;5,"4",1*MID(LEFT(D1895, LEN(D1895)-1),6,2)&lt;8,"7",1*MID(LEFT(D1895, LEN(D1895)-1),6,2)&lt;10,"9",1*MID(LEFT(D1895, LEN(D1895)-1),6,2)&gt;9,"12"),"PC6-"&amp;_xlfn.IFS(1*MID(LEFT(D1895, LEN(D1895)-1),6,2)&lt;4,"3",1*MID(LEFT(D1895, LEN(D1895)-1),6,2)&lt;8,"7",1*MID(LEFT(D1895, LEN(D1895)-1),6,2)&lt;13,"12",1*MID(LEFT(D1895, LEN(D1895)-1),6,2)&gt;12,"14"))&amp;"、ポリプロピレン")</f>
        <v>PC5-4、ポリプロピレン</v>
      </c>
      <c r="D1926" s="208"/>
      <c r="E1926" s="209"/>
      <c r="F1926" s="217" t="str">
        <f>"n=1"</f>
        <v>n=1</v>
      </c>
      <c r="G1926" s="218"/>
      <c r="H1926" s="219"/>
      <c r="I1926" s="213" t="s">
        <v>13</v>
      </c>
      <c r="J1926" s="220" t="str">
        <f>IF(OR(D1894=0,D1895="　"),"",MID(F1926,3,2))</f>
        <v>1</v>
      </c>
      <c r="K1926" s="214">
        <f>IFERROR(D1894*J1926,"")</f>
        <v>10</v>
      </c>
    </row>
    <row r="1927" spans="2:11" ht="12" customHeight="1">
      <c r="B1927" s="206" t="s">
        <v>3</v>
      </c>
      <c r="C1927" s="207" t="str">
        <f>IF(OR(D1894=0,D1895="　"),"","66ナイロン")</f>
        <v>66ナイロン</v>
      </c>
      <c r="D1927" s="208"/>
      <c r="E1927" s="209"/>
      <c r="F1927" s="222" t="s">
        <v>156</v>
      </c>
      <c r="G1927" s="211"/>
      <c r="H1927" s="212"/>
      <c r="I1927" s="213" t="s">
        <v>14</v>
      </c>
      <c r="J1927" s="206">
        <f>IF(OR(D1894=0,D1895="　"),"",2*J1925)</f>
        <v>8</v>
      </c>
      <c r="K1927" s="214">
        <f>IFERROR(D1894*J1927,"")</f>
        <v>80</v>
      </c>
    </row>
    <row r="1928" spans="2:11" ht="12" customHeight="1">
      <c r="B1928" s="206" t="s">
        <v>4</v>
      </c>
      <c r="C1928" s="207" t="str">
        <f>IF(OR(D1894=0,D1895="　"),"","フィラメントテープ")</f>
        <v>フィラメントテープ</v>
      </c>
      <c r="D1928" s="208"/>
      <c r="E1928" s="209"/>
      <c r="F1928" s="222" t="str">
        <f>IF(OR(D1894=0,D1895="　"),"","L=((自由長+緊張部長)÷@1.0m)×テープ係数"&amp;IF(MID(D1895,4,1)="5",_xlfn.IFS(1*MID(LEFT(D1895, LEN(D1895)-1),6,2)&lt;4,"0.8",1*MID(LEFT(D1895, LEN(D1895)-1),6,2)&lt;7,"1.0",1*MID(LEFT(D1895, LEN(D1895)-1),6,2)&lt;10,"1.2",1*MID(LEFT(D1895, LEN(D1895)-1),6,2)&lt;13,"1.4"),_xlfn.IFS(1*MID(LEFT(D1895, LEN(D1895)-1),6,2)&lt;4,"1.0",1*MID(LEFT(D1895, LEN(D1895)-1),6,2)&lt;7,"1.2",1*MID(LEFT(D1895, LEN(D1895)-1),6,2)&lt;10,"1.4",1*MID(LEFT(D1895, LEN(D1895)-1),6,2)&lt;15,"1.8")))</f>
        <v>L=((自由長+緊張部長)÷@1.0m)×テープ係数1.0</v>
      </c>
      <c r="G1928" s="211"/>
      <c r="H1928" s="212"/>
      <c r="I1928" s="213" t="s">
        <v>12</v>
      </c>
      <c r="J1928" s="223">
        <f>IF(OR(D1894=0,D1895="　"),"",MROUND((SUM(D1904,D1905))/1*RIGHT(F1928, 3),0.1))</f>
        <v>5.5</v>
      </c>
      <c r="K1928" s="214">
        <f>IFERROR(D1894*J1928,"")</f>
        <v>55</v>
      </c>
    </row>
    <row r="1929" spans="2:11" ht="12" customHeight="1">
      <c r="B1929" s="206" t="s">
        <v>0</v>
      </c>
      <c r="C1929" s="207" t="str">
        <f>IF(OR(D1894=0,D1895="　"),"","16/20、高密度ポリエチレン")</f>
        <v>16/20、高密度ポリエチレン</v>
      </c>
      <c r="D1929" s="208"/>
      <c r="E1929" s="209"/>
      <c r="F1929" s="210" t="s">
        <v>33</v>
      </c>
      <c r="G1929" s="211"/>
      <c r="H1929" s="212"/>
      <c r="I1929" s="213" t="s">
        <v>12</v>
      </c>
      <c r="J1929" s="214">
        <f>IF(OR(D1894=0,D1895="　"),"",MROUND(D1907,0.1))</f>
        <v>9.7000000000000011</v>
      </c>
      <c r="K1929" s="214">
        <f>IFERROR(D1894*J1929,"")</f>
        <v>97.000000000000014</v>
      </c>
    </row>
    <row r="1930" spans="2:11" ht="12" customHeight="1">
      <c r="B1930" s="206" t="str" cm="1">
        <f t="array" ref="B1930">_xlfn.IFS(OR(D1894=0,D1895="　",MID(D1898,1,2)="なし",MID(D1898,1,3)="受圧体"),"",MID(D1898,1,3)="のり面","のり面角度台座",MID(D1898,1,3)="構造物","構造物壁面台座",MID(D1898,1,3)="土留め","土留め台座")</f>
        <v>のり面角度台座</v>
      </c>
      <c r="C1930" s="210" t="str" cm="1">
        <f t="array" ref="C1930">IF(OR(D1894=0,D1895="　",MID(D1898,1,2)="なし",MID(D1898,1,3)="受圧体"),"",_xlfn.IFS(MID(D1898,1,3)="のり面",IF(1*MID(D1895,4,1)=5,_xlfn.IFS(1*MID(LEFT(D1895, LEN(D1895)-1),6,2)&lt;5,"ST140",1*MID(LEFT(D1895, LEN(D1895)-1),6,2)&lt;8,"ST170",1*MID(LEFT(D1895, LEN(D1895)-1),6,2)&lt;13,"ST220"),_xlfn.IFS(1*MID(LEFT(D1895, LEN(D1895)-1),6,2)&lt;4,"ST140",1*MID(LEFT(D1895, LEN(D1895)-1),6,2)&lt;5,"ST170",1*MID(LEFT(D1895, LEN(D1895)-1),6,2)&lt;8,"ST220",1*MID(LEFT(D1895, LEN(D1895)-1),6,2)&lt;15,"非該当"))&amp;"、FCD450相当、防食："&amp;_xlfn.IFS(MID(D1896,1,3)="防食Ⅱ","HDZT77めっき",MID(D1896,5,2)="塩害","ｱﾙﾐﾅｲｽﾞ処理",MID(D1896,5,2)="酸性","重防食処理"),OR(MID(D1898,1,3)="構造物",MID(D1898,1,3)="土留め"),D1895&amp;"用"&amp;IF(OR(MID(D1898,1,3)="構造物",D1899="　"),"",D1899)&amp;"、防食："&amp;_xlfn.IFS(MID(D1896,1,3)="防食Ⅱ","HDZT77めっき",MID(D1896,5,2)="塩害","ｱﾙﾐﾅｲｽﾞ処理",MID(D1896,5,2)="酸性","重防食処理")))</f>
        <v>ST140、FCD450相当、防食：HDZT77めっき</v>
      </c>
      <c r="D1930" s="208"/>
      <c r="E1930" s="209"/>
      <c r="F1930" s="217" t="str">
        <f>IF(OR(D1898="なし",D1898="受圧体のみ"),"","n=1")</f>
        <v>n=1</v>
      </c>
      <c r="G1930" s="218"/>
      <c r="H1930" s="219"/>
      <c r="I1930" s="213" t="str">
        <f>IF(OR(D1894=0,D1895="　",B1930=""),"","台")</f>
        <v>台</v>
      </c>
      <c r="J1930" s="220" t="str">
        <f>IF(OR(D1894=0,D1895="　"),"",MID(F1930,3,2))</f>
        <v>1</v>
      </c>
      <c r="K1930" s="214">
        <f>IFERROR(D1894*J1930,"")</f>
        <v>10</v>
      </c>
    </row>
    <row r="1931" spans="2:11" ht="12" customHeight="1">
      <c r="B1931" s="206" t="str">
        <f>IF(OR(D1894=0,D1895="　",MID(D1898,1,3)&lt;&gt;"のり面"),"","補剛板")</f>
        <v>補剛板</v>
      </c>
      <c r="C1931" s="210" t="str" cm="1">
        <f t="array" ref="C1931">IF(OR(D1894=0,D1895="　",MID(D1898,1,3)&lt;&gt;"のり面"),"",IF(MID(D1895,4,1)="5","□"&amp;_xlfn.SWITCH(1*MID(LEFT(D1895, LEN(D1895)-1),6,2),1,"210φ131t12",2,"210φ131t12",3,"240φ131t12",4,"270φ131t12",5,"280φ143t12",6,"310φ143t16",7,"350φ143t19",8,"350φ180t19",9,"350φ180t19",10,"350φ180t19",11,"350φ180t22",12,"350φ180t22"),"□"&amp;_xlfn.SWITCH(1*MID(LEFT(D1895, LEN(D1895)-1),6,2),1,"210,φ131,t12",2,"240,φ131,t12",3,"270,φ131,t16",4,"300,φ143,t16",5,"350,φ180,t16",6,"350,φ180,t16",7,"350,φ180,t19",8,"400,φ──,t12",9,"400,φ──,t12",10,"400,φ──,t12",11,"400,φ──,t12",12,"400,φ──,t12",13,"400,φ──,t12",14,"400,φ──,t12"))&amp;"、SS400相当、防食："&amp;_xlfn.IFS(MID(D1896,1,3)="防食Ⅱ","HDZT77めっき",MID(D1896,5,2)="塩害","ｱﾙﾐﾅｲｽﾞ処理",MID(D1896,5,2)="酸性","重防食処理"))</f>
        <v>□270φ131t12、SS400相当、防食：HDZT77めっき</v>
      </c>
      <c r="D1931" s="208"/>
      <c r="E1931" s="209"/>
      <c r="F1931" s="217" t="str">
        <f>IF(OR(D1894=0,D1895="　",MID(D1898,1,3)&lt;&gt;"のり面"),"","n=1")</f>
        <v>n=1</v>
      </c>
      <c r="G1931" s="218"/>
      <c r="H1931" s="219"/>
      <c r="I1931" s="213" t="str">
        <f>IF(OR(D1894=0,D1895="　",B1931="",MID(D1898,1,3)&lt;&gt;"のり面"),"","枚")</f>
        <v>枚</v>
      </c>
      <c r="J1931" s="220" t="str">
        <f>IF(OR(D1894=0,D1895="　"),"",MID(F1931,3,2))</f>
        <v>1</v>
      </c>
      <c r="K1931" s="214">
        <f>IFERROR(D1894*J1931,"")</f>
        <v>10</v>
      </c>
    </row>
    <row r="1932" spans="2:11" ht="12" customHeight="1">
      <c r="B1932" s="206" t="str" cm="1">
        <f t="array" ref="B1932">_xlfn.IFS(OR(D1894=0,D1895="　"),"",MID(D1897,1,3)="アルミ","",MID(D1897,1,3)&lt;&gt;"アルミ","テンドン補修用塗料")</f>
        <v>テンドン補修用塗料</v>
      </c>
      <c r="C1932" s="210" t="str" cm="1">
        <f t="array" ref="C1932">_xlfn.IFS(OR(D1894=0,D1895="　"),"",MID(D1897,1,3)="アルミ","",MID(D1897,1,3)&lt;&gt;"アルミ","エポキシ樹脂")</f>
        <v>エポキシ樹脂</v>
      </c>
      <c r="D1932" s="208"/>
      <c r="E1932" s="209"/>
      <c r="F1932" s="217" t="str" cm="1">
        <f t="array" ref="F1932">_xlfn.IFS(OR(D1894=0,D1895="　"),"",MID(D1897,1,3)="アルミ","",MID(D1897,1,3)&lt;&gt;"アルミ","W=PC鋼より線本数×"&amp;IF(MID(D1895,4,1)="5","0.28","0.40"))</f>
        <v>W=PC鋼より線本数×0.28</v>
      </c>
      <c r="G1932" s="218"/>
      <c r="H1932" s="219"/>
      <c r="I1932" s="213" t="str" cm="1">
        <f t="array" ref="I1932">_xlfn.IFS(OR(D1894=0,D1895="　"),"",MID(D1897,1,3)="アルミ","",MID(D1897,1,3)&lt;&gt;"アルミ","g")</f>
        <v>g</v>
      </c>
      <c r="J1932" s="224" cm="1">
        <f t="array" ref="J1932">_xlfn.IFS(OR(D1894=0,D1895="　"),"",MID(D1897,1,3)="アルミ","",MID(D1897,1,3)&lt;&gt;"アルミ",MID(LEFT(D1895, LEN(D1895)-1),6,2)*IF(MID(D1895,4,1)="5",0.28,0.4))</f>
        <v>1.1200000000000001</v>
      </c>
      <c r="K1932" s="214">
        <f>IFERROR(D1894*J1932,"")</f>
        <v>11.200000000000001</v>
      </c>
    </row>
    <row r="1933" spans="2:11" ht="12" customHeight="1">
      <c r="B1933" s="206" t="str" cm="1">
        <f t="array" ref="B1933">_xlfn.IFS(OR(D1894=0,D1895="　"),"",MID(D1897,1,3)="アルミ","",MID(D1897,1,3)&lt;&gt;"アルミ","長期防錆スプレー")</f>
        <v>長期防錆スプレー</v>
      </c>
      <c r="C1933" s="210" t="str" cm="1">
        <f t="array" ref="C1933">_xlfn.IFS(OR(D1894=0,D1895="　"),"",MID(D1897,1,3)="アルミ","",MID(D1897,1,3)&lt;&gt;"アルミ","防錆オイル")</f>
        <v>防錆オイル</v>
      </c>
      <c r="D1933" s="208"/>
      <c r="E1933" s="209"/>
      <c r="F1933" s="217" t="str" cm="1">
        <f t="array" ref="F1933">_xlfn.IFS(OR(D1894=0,D1895="　"),"",MID(D1897,1,3)="アルミ","",MID(D1897,1,3)&lt;&gt;"アルミ","n=0.01×(PC鋼より線本数+"&amp;IF(MID(D1895,4,1)="5","6","12")&amp;")")</f>
        <v>n=0.01×(PC鋼より線本数+6)</v>
      </c>
      <c r="G1933" s="218"/>
      <c r="H1933" s="219"/>
      <c r="I1933" s="213" t="str" cm="1">
        <f t="array" ref="I1933">_xlfn.IFS(OR(D1894=0,D1895="　"),"",MID(D1897,1,3)="アルミ","",MID(D1897,1,3)&lt;&gt;"アルミ","缶")</f>
        <v>缶</v>
      </c>
      <c r="J1933" s="224" cm="1">
        <f t="array" ref="J1933">_xlfn.IFS(OR(D1894=0,D1895="　"),"",MID(D1897,1,3)="アルミ","",MID(D1897,1,3)&lt;&gt;"アルミ",0.01*(MID(LEFT(D1895, LEN(D1895)-1),6,2)+IF(MID(D1895,4,1)="5",6,12)))</f>
        <v>0.1</v>
      </c>
      <c r="K1933" s="214">
        <f>IFERROR(D1894*J1933,"")</f>
        <v>1</v>
      </c>
    </row>
    <row r="1934" spans="2:11" ht="12" customHeight="1">
      <c r="B1934" s="206" t="str">
        <f>IF(OR(D1894=0,D1895="　",D1900="なし"),"","フリーパッカー注入ホース")</f>
        <v/>
      </c>
      <c r="C1934" s="207" t="str">
        <f>IF(OR(D1894=0,D1895="　",B1934=""),"","16/20、高密度ポリエチレン")</f>
        <v/>
      </c>
      <c r="D1934" s="208"/>
      <c r="E1934" s="209"/>
      <c r="F1934" s="210" t="str">
        <f>IF(B1934="","","L=自由長+緊張部長")</f>
        <v/>
      </c>
      <c r="G1934" s="211"/>
      <c r="H1934" s="212"/>
      <c r="I1934" s="213" t="str">
        <f>IF(OR(D1894=0,D1895="　",B1934=""),"","m")</f>
        <v/>
      </c>
      <c r="J1934" s="214" t="str">
        <f>IF(OR(D1894=0,D1895="　"),"",IF(B1934="","",MROUND(D1904+D1905,0.1)))</f>
        <v/>
      </c>
      <c r="K1934" s="214" t="str">
        <f>IFERROR(D1894*J1934,"")</f>
        <v/>
      </c>
    </row>
    <row r="1935" spans="2:11" ht="12" customHeight="1">
      <c r="B1935" s="225" t="str">
        <f>IF(OR(D1894=0,D1895="　",D1900="なし"),"","フリーパッカー")</f>
        <v/>
      </c>
      <c r="C1935" s="217" t="str" cm="1">
        <f t="array" ref="C1935">IF(OR(D1894=0,D1895="　",B1934=""),"",_xlfn.SWITCH(D1909,90,"PA-170",115,"PA-200",135,"PA-240",146,"PA-240",165,"PA-350")&amp;"、織布")</f>
        <v/>
      </c>
      <c r="D1935" s="208"/>
      <c r="E1935" s="209"/>
      <c r="F1935" s="226" t="str">
        <f>IF(B1935="","","L=自由長+0.5m")</f>
        <v/>
      </c>
      <c r="G1935" s="227"/>
      <c r="H1935" s="228"/>
      <c r="I1935" s="213" t="str">
        <f>IF(OR(D1895=0,D1896="　",B1935=""),"","m")</f>
        <v/>
      </c>
      <c r="J1935" s="214" t="str">
        <f>IF(OR(D1894=0,D1895="　"),"",IF(B1935="","",MROUND(D1904+0.5,0.1)))</f>
        <v/>
      </c>
      <c r="K1935" s="214" t="str">
        <f>IFERROR(D1894*J1935,"")</f>
        <v/>
      </c>
    </row>
    <row r="1936" spans="2:11" ht="12" customHeight="1">
      <c r="B1936" s="206" t="str">
        <f>IF(OR(D1894=0,D1895="　",D1900="なし"),"","パッカー取付加工")</f>
        <v/>
      </c>
      <c r="C1936" s="207"/>
      <c r="D1936" s="208"/>
      <c r="E1936" s="209"/>
      <c r="F1936" s="217" t="str">
        <f>IF(B1936="","","n=1")</f>
        <v/>
      </c>
      <c r="G1936" s="218"/>
      <c r="H1936" s="219"/>
      <c r="I1936" s="213" t="str">
        <f>IF(OR(D1896=0,D1897="　",B1936=""),"","式")</f>
        <v/>
      </c>
      <c r="J1936" s="220" t="str">
        <f>IF(OR(D1894=0,D1895="　"),"",MID(F1936,3,2))</f>
        <v/>
      </c>
      <c r="K1936" s="206" t="str">
        <f>IFERROR(D1894*J1936,"")</f>
        <v/>
      </c>
    </row>
    <row r="1937" spans="2:11" ht="12" customHeight="1">
      <c r="B1937" s="229"/>
      <c r="C1937" s="230"/>
      <c r="D1937" s="231"/>
      <c r="E1937" s="232"/>
      <c r="F1937" s="233"/>
      <c r="G1937" s="234"/>
      <c r="H1937" s="235"/>
      <c r="I1937" s="236"/>
      <c r="J1937" s="237"/>
      <c r="K1937" s="229"/>
    </row>
    <row r="1938" spans="2:11" ht="12" customHeight="1">
      <c r="B1938" s="238" t="s">
        <v>30</v>
      </c>
      <c r="C1938" s="239" t="s">
        <v>31</v>
      </c>
      <c r="D1938" s="240"/>
      <c r="E1938" s="241"/>
      <c r="F1938" s="242" t="s">
        <v>157</v>
      </c>
      <c r="G1938" s="243"/>
      <c r="H1938" s="244"/>
      <c r="I1938" s="245" t="s">
        <v>55</v>
      </c>
      <c r="J1938" s="246">
        <f>IFERROR(MROUND(0.25*PI()*(0.001*D1909)^2*(D1902+D1903+D1908)*(1+2.2),0.01),"")</f>
        <v>0.17</v>
      </c>
      <c r="K1938" s="246">
        <f>IFERROR(D1894*J1938,"")</f>
        <v>1.7000000000000002</v>
      </c>
    </row>
    <row r="1940" spans="2:11" ht="12" customHeight="1">
      <c r="B1940" s="247" t="s">
        <v>136</v>
      </c>
      <c r="C1940" s="247"/>
      <c r="D1940" s="247"/>
      <c r="F1940" s="163"/>
      <c r="G1940" s="164"/>
      <c r="H1940" s="164"/>
    </row>
    <row r="1941" spans="2:11" ht="12" customHeight="1">
      <c r="B1941" s="15" t="s">
        <v>111</v>
      </c>
      <c r="C1941" s="15"/>
      <c r="D1941" s="1"/>
      <c r="E1941" s="1"/>
      <c r="H1941" s="119"/>
      <c r="J1941" s="118"/>
    </row>
    <row r="1942" spans="2:11" ht="12" customHeight="1">
      <c r="B1942" s="165" t="s">
        <v>166</v>
      </c>
      <c r="C1942" s="3"/>
      <c r="D1942" s="1"/>
      <c r="E1942" s="1"/>
      <c r="F1942" s="8"/>
      <c r="G1942" s="8"/>
      <c r="H1942" s="102"/>
      <c r="I1942" s="28"/>
      <c r="J1942" s="118"/>
    </row>
    <row r="1943" spans="2:11" ht="12" customHeight="1">
      <c r="B1943" s="15" t="s">
        <v>40</v>
      </c>
      <c r="C1943" s="3"/>
      <c r="D1943" s="1"/>
      <c r="E1943" s="1"/>
      <c r="F1943" s="15" t="s">
        <v>54</v>
      </c>
      <c r="G1943" s="15"/>
      <c r="H1943" s="102"/>
      <c r="I1943" s="28"/>
    </row>
    <row r="1944" spans="2:11" ht="12" customHeight="1">
      <c r="B1944" s="2" t="s">
        <v>53</v>
      </c>
      <c r="C1944" s="2" t="s">
        <v>21</v>
      </c>
      <c r="D1944" s="2" t="s">
        <v>22</v>
      </c>
      <c r="E1944" s="17"/>
      <c r="F1944" s="49" t="s">
        <v>41</v>
      </c>
      <c r="G1944" s="97" t="s">
        <v>59</v>
      </c>
      <c r="H1944" s="49" t="s">
        <v>44</v>
      </c>
      <c r="I1944" s="2" t="s">
        <v>21</v>
      </c>
      <c r="J1944" s="49" t="s">
        <v>138</v>
      </c>
      <c r="K1944" s="2" t="s">
        <v>28</v>
      </c>
    </row>
    <row r="1945" spans="2:11" ht="12" customHeight="1">
      <c r="B1945" s="166" t="s">
        <v>25</v>
      </c>
      <c r="C1945" s="18" t="s">
        <v>24</v>
      </c>
      <c r="D1945" s="167">
        <v>10</v>
      </c>
      <c r="E1945" s="19"/>
      <c r="F1945" s="168" t="s">
        <v>43</v>
      </c>
      <c r="G1945" s="169" t="s">
        <v>113</v>
      </c>
      <c r="H1945" s="88" t="str" cm="1">
        <f t="array" ref="H1945">_xlfn.IFS(AND(F1945&lt;&gt;"非削孔",F1945&lt;&gt;"無設定"),D1960,F1945="非削孔",IF(MID(D1949,1,3)="土留め","非削孔","箱抜き"),F1945="無設定","無設定")</f>
        <v>箱抜き</v>
      </c>
      <c r="I1945" s="23" t="str">
        <f>IF(F1945="無設定","","m")</f>
        <v>m</v>
      </c>
      <c r="J1945" s="170">
        <v>0.5</v>
      </c>
      <c r="K1945" s="30">
        <f>D1945*J1945</f>
        <v>5</v>
      </c>
    </row>
    <row r="1946" spans="2:11" ht="12" customHeight="1">
      <c r="B1946" s="171" t="s">
        <v>37</v>
      </c>
      <c r="C1946" s="50" t="s">
        <v>38</v>
      </c>
      <c r="D1946" s="172" t="s">
        <v>159</v>
      </c>
      <c r="E1946" s="173"/>
      <c r="F1946" s="174" t="s">
        <v>49</v>
      </c>
      <c r="G1946" s="169" t="s">
        <v>114</v>
      </c>
      <c r="H1946" s="88" cm="1">
        <f t="array" ref="H1946">_xlfn.IFS(AND(F1946&lt;&gt;"非削孔",F1946&lt;&gt;"無設定"),D1960,F1946="非削孔","箱抜き",F1946="無設定","無設定")</f>
        <v>90</v>
      </c>
      <c r="I1946" s="23" t="str">
        <f t="shared" ref="I1946:I1954" si="76">IF(F1946="無設定","","m")</f>
        <v>m</v>
      </c>
      <c r="J1946" s="170">
        <v>2.64</v>
      </c>
      <c r="K1946" s="30">
        <f>D1945*J1946</f>
        <v>26.400000000000002</v>
      </c>
    </row>
    <row r="1947" spans="2:11" ht="12" customHeight="1">
      <c r="B1947" s="52" t="s">
        <v>39</v>
      </c>
      <c r="C1947" s="91" t="s">
        <v>38</v>
      </c>
      <c r="D1947" s="175" t="s">
        <v>60</v>
      </c>
      <c r="E1947" s="140"/>
      <c r="F1947" s="174" t="s">
        <v>49</v>
      </c>
      <c r="G1947" s="169" t="s">
        <v>115</v>
      </c>
      <c r="H1947" s="88" cm="1">
        <f t="array" ref="H1947">_xlfn.IFS(AND(F1947&lt;&gt;"非削孔",F1947&lt;&gt;"無設定"),D1960,F1947="非削孔","箱抜き",F1947="無設定","無設定")</f>
        <v>90</v>
      </c>
      <c r="I1947" s="23" t="str">
        <f t="shared" si="76"/>
        <v>m</v>
      </c>
      <c r="J1947" s="170">
        <v>5.36</v>
      </c>
      <c r="K1947" s="30">
        <f>D1945*J1947</f>
        <v>53.6</v>
      </c>
    </row>
    <row r="1948" spans="2:11" ht="12" customHeight="1">
      <c r="B1948" s="147" t="s">
        <v>140</v>
      </c>
      <c r="C1948" s="91" t="s">
        <v>38</v>
      </c>
      <c r="D1948" s="176" t="s">
        <v>141</v>
      </c>
      <c r="E1948" s="141"/>
      <c r="F1948" s="174" t="s">
        <v>48</v>
      </c>
      <c r="G1948" s="169"/>
      <c r="H1948" s="88" t="str" cm="1">
        <f t="array" ref="H1948">_xlfn.IFS(AND(F1948&lt;&gt;"非削孔",F1948&lt;&gt;"無設定"),D1960,F1948="非削孔","箱抜き",F1948="無設定","無設定")</f>
        <v>無設定</v>
      </c>
      <c r="I1948" s="23" t="str">
        <f t="shared" si="76"/>
        <v/>
      </c>
      <c r="J1948" s="170">
        <v>0</v>
      </c>
      <c r="K1948" s="30">
        <f>D1945*J1948</f>
        <v>0</v>
      </c>
    </row>
    <row r="1949" spans="2:11" ht="12" customHeight="1">
      <c r="B1949" s="147" t="s">
        <v>142</v>
      </c>
      <c r="C1949" s="91" t="s">
        <v>38</v>
      </c>
      <c r="D1949" s="177" t="s">
        <v>160</v>
      </c>
      <c r="E1949" s="21"/>
      <c r="F1949" s="174" t="s">
        <v>48</v>
      </c>
      <c r="G1949" s="169"/>
      <c r="H1949" s="88" t="str" cm="1">
        <f t="array" ref="H1949">_xlfn.IFS(AND(F1949&lt;&gt;"非削孔",F1949&lt;&gt;"無設定"),D1960,F1949="非削孔","箱抜き",F1949="無設定","無設定")</f>
        <v>無設定</v>
      </c>
      <c r="I1949" s="23" t="str">
        <f t="shared" si="76"/>
        <v/>
      </c>
      <c r="J1949" s="170">
        <v>0</v>
      </c>
      <c r="K1949" s="30">
        <f>D1945*J1949</f>
        <v>0</v>
      </c>
    </row>
    <row r="1950" spans="2:11" ht="12" customHeight="1">
      <c r="B1950" s="114" t="str">
        <f>IF(MID(D1949,1,3)="土留め",D1949&amp;"の種類","")</f>
        <v/>
      </c>
      <c r="C1950" s="91" t="s">
        <v>38</v>
      </c>
      <c r="D1950" s="178" t="s">
        <v>71</v>
      </c>
      <c r="E1950" s="21"/>
      <c r="F1950" s="174" t="s">
        <v>48</v>
      </c>
      <c r="G1950" s="169"/>
      <c r="H1950" s="88" t="str" cm="1">
        <f t="array" ref="H1950">_xlfn.IFS(AND(F1950&lt;&gt;"非削孔",F1950&lt;&gt;"無設定"),D1960,F1950="非削孔","箱抜き",F1950="無設定","無設定")</f>
        <v>無設定</v>
      </c>
      <c r="I1950" s="23" t="str">
        <f t="shared" si="76"/>
        <v/>
      </c>
      <c r="J1950" s="170">
        <v>0</v>
      </c>
      <c r="K1950" s="30">
        <f>D1945*J1950</f>
        <v>0</v>
      </c>
    </row>
    <row r="1951" spans="2:11" ht="12" customHeight="1">
      <c r="B1951" s="179" t="s">
        <v>50</v>
      </c>
      <c r="C1951" s="180" t="s">
        <v>38</v>
      </c>
      <c r="D1951" s="181" t="s">
        <v>51</v>
      </c>
      <c r="E1951" s="182"/>
      <c r="F1951" s="174" t="s">
        <v>48</v>
      </c>
      <c r="G1951" s="169"/>
      <c r="H1951" s="88" t="str" cm="1">
        <f t="array" ref="H1951">_xlfn.IFS(AND(F1951&lt;&gt;"非削孔",F1951&lt;&gt;"無設定"),D1960,F1951="非削孔","箱抜き",F1951="無設定","無設定")</f>
        <v>無設定</v>
      </c>
      <c r="I1951" s="23" t="str">
        <f t="shared" si="76"/>
        <v/>
      </c>
      <c r="J1951" s="170">
        <v>0</v>
      </c>
      <c r="K1951" s="30">
        <f>D1945*J1951</f>
        <v>0</v>
      </c>
    </row>
    <row r="1952" spans="2:11" ht="12" customHeight="1">
      <c r="B1952" s="160" t="str" cm="1">
        <f t="array" ref="B1952">"頭部自由長"&amp;_xlfn.IFS(MID(D1949,1,2)="なし","",MID(D1949,1,3)="受圧体","(受圧体)",MID(D1949,1,3)="のり面","(角度台座＋受圧体)",MID(D1949,1,3)="構造物","(壁面台座)",MID(D1949,1,3)="土留め","(台座+腹起し)")&amp;"　Lfh"</f>
        <v>頭部自由長(角度台座＋受圧体)　Lfh</v>
      </c>
      <c r="C1952" s="155" t="s">
        <v>23</v>
      </c>
      <c r="D1952" s="183">
        <v>0.5</v>
      </c>
      <c r="E1952" s="21"/>
      <c r="F1952" s="174" t="s">
        <v>144</v>
      </c>
      <c r="G1952" s="169"/>
      <c r="H1952" s="88" cm="1">
        <f t="array" ref="H1952">_xlfn.IFS(AND(F1952&lt;&gt;"非削孔",F1952&lt;&gt;"無設定"),D1960,F1952="非削孔","箱抜き",F1952="無設定","無設定")</f>
        <v>90</v>
      </c>
      <c r="I1952" s="23" t="str">
        <f t="shared" si="76"/>
        <v>m</v>
      </c>
      <c r="J1952" s="170">
        <v>0</v>
      </c>
      <c r="K1952" s="30">
        <f>D1945*J1952</f>
        <v>0</v>
      </c>
    </row>
    <row r="1953" spans="2:11" ht="12" customHeight="1">
      <c r="B1953" s="22" t="s">
        <v>108</v>
      </c>
      <c r="C1953" s="23" t="s">
        <v>23</v>
      </c>
      <c r="D1953" s="184">
        <v>4</v>
      </c>
      <c r="E1953" s="21"/>
      <c r="F1953" s="174" t="s">
        <v>48</v>
      </c>
      <c r="G1953" s="169"/>
      <c r="H1953" s="88" t="str" cm="1">
        <f t="array" ref="H1953">_xlfn.IFS(AND(F1953&lt;&gt;"非削孔",F1953&lt;&gt;"無設定"),D1960,F1953="非削孔","箱抜き",F1953="無設定","無設定")</f>
        <v>無設定</v>
      </c>
      <c r="I1953" s="23" t="str">
        <f t="shared" si="76"/>
        <v/>
      </c>
      <c r="J1953" s="170">
        <v>0</v>
      </c>
      <c r="K1953" s="30">
        <f>D1945*J1953</f>
        <v>0</v>
      </c>
    </row>
    <row r="1954" spans="2:11" ht="12" customHeight="1">
      <c r="B1954" s="157" t="s">
        <v>36</v>
      </c>
      <c r="C1954" s="158" t="s">
        <v>23</v>
      </c>
      <c r="D1954" s="185">
        <v>4</v>
      </c>
      <c r="F1954" s="186" t="str" cm="1">
        <f t="array" ref="F1954">INDEX(F1945:H1953,MATCH("無設定",F1945:F1953,0)-1,MATCH(F1944,F1944:H1944,0))</f>
        <v>軟　岩</v>
      </c>
      <c r="G1954" s="100" t="str" cm="1">
        <f t="array" ref="G1954">INDEX(F1945:H1953,MATCH("無設定",F1945:F1953,0)-1,MATCH(G1944,F1944:H1944,0))&amp;"　(先端長 L2d)"</f>
        <v>風化岩 CL　(先端長 L2d)</v>
      </c>
      <c r="H1954" s="88" cm="1">
        <f t="array" ref="H1954">INDEX(F1945:H1953,MATCH("無設定",F1945:F1953,0)-1,MATCH(H1944,F1944:H1944,0))</f>
        <v>90</v>
      </c>
      <c r="I1954" s="23" t="str">
        <f t="shared" si="76"/>
        <v>m</v>
      </c>
      <c r="J1954" s="98">
        <f>D1959</f>
        <v>0.25</v>
      </c>
      <c r="K1954" s="78">
        <f>IFERROR(D1945*J1954,"")</f>
        <v>2.5</v>
      </c>
    </row>
    <row r="1955" spans="2:11" ht="12" customHeight="1">
      <c r="B1955" s="154" t="s">
        <v>145</v>
      </c>
      <c r="C1955" s="155" t="s">
        <v>23</v>
      </c>
      <c r="D1955" s="187">
        <f>IF(OR(D1945=0,D1946="　"),"──",SUM(D1952:D1953))</f>
        <v>4.5</v>
      </c>
      <c r="E1955" s="19"/>
      <c r="F1955" s="188"/>
      <c r="G1955" s="75" t="s">
        <v>124</v>
      </c>
      <c r="H1955" s="103"/>
      <c r="I1955" s="18" t="s">
        <v>23</v>
      </c>
      <c r="J1955" s="74">
        <f>SUMIFS(J1945:J1954,F1945:F1954,"&lt;&gt;非削孔",F1945:F1954,"&lt;&gt;無設定")</f>
        <v>8.25</v>
      </c>
      <c r="K1955" s="95">
        <f>SUMIFS(K1945:K1954,F1945:F1954,"&lt;&gt;非削孔",F1945:F1954,"&lt;&gt;無設定")</f>
        <v>82.5</v>
      </c>
    </row>
    <row r="1956" spans="2:11" ht="12" customHeight="1">
      <c r="B1956" s="146" t="s">
        <v>146</v>
      </c>
      <c r="C1956" s="23" t="s">
        <v>23</v>
      </c>
      <c r="D1956" s="189" cm="1">
        <f t="array" ref="D1956">IF(OR(D1945=0,D1946="　"),"──",IF(MID(D1946,4,1)="5",_xlfn.IFS(1*MID(LEFT(D1946, LEN(D1946)-1),6,2)&lt;8,1,1*MID(LEFT(D1946, LEN(D1946)-1),6,2)&lt;13,1.2),_xlfn.IFS(1*MID(LEFT(D1946, LEN(D1946)-1),6,2)&lt;6,1,1*MID(LEFT(D1946, LEN(D1946)-1),6,2)&lt;15,1.2)))</f>
        <v>1</v>
      </c>
      <c r="E1956" s="19"/>
      <c r="F1956" s="190"/>
      <c r="G1956" s="76" t="s">
        <v>47</v>
      </c>
      <c r="H1956" s="104"/>
      <c r="I1956" s="79" t="s">
        <v>46</v>
      </c>
      <c r="J1956" s="77" t="str">
        <f>IF(OR(D1945=0,D1946="　"),"",IF(SUM(D1953:D1954,D1959)=J1955,"OK","NG"))</f>
        <v>OK</v>
      </c>
      <c r="K1956" s="145" t="str">
        <f>IF(J1956&lt;&gt;"NG","──",J1955-SUM(D1953:D1954,D1959))</f>
        <v>──</v>
      </c>
    </row>
    <row r="1957" spans="2:11" ht="12" customHeight="1">
      <c r="B1957" s="22" t="s">
        <v>125</v>
      </c>
      <c r="C1957" s="23" t="s">
        <v>35</v>
      </c>
      <c r="D1957" s="84">
        <f>IF(OR(D1945=0,D1946="　"),"──",0.2)</f>
        <v>0.2</v>
      </c>
      <c r="F1957" s="191" t="s">
        <v>58</v>
      </c>
      <c r="G1957" s="248" t="s">
        <v>110</v>
      </c>
      <c r="H1957" s="249"/>
      <c r="I1957" s="249"/>
      <c r="J1957" s="249"/>
      <c r="K1957" s="250"/>
    </row>
    <row r="1958" spans="2:11" ht="12" customHeight="1">
      <c r="B1958" s="6" t="s">
        <v>147</v>
      </c>
      <c r="C1958" s="23" t="s">
        <v>23</v>
      </c>
      <c r="D1958" s="60">
        <f>IF(OR(D1945=0,D1946="　"),"──",SUM(D1954:D1957))</f>
        <v>9.6999999999999993</v>
      </c>
    </row>
    <row r="1959" spans="2:11" ht="12" customHeight="1">
      <c r="B1959" s="25" t="s">
        <v>127</v>
      </c>
      <c r="C1959" s="26" t="s">
        <v>23</v>
      </c>
      <c r="D1959" s="27">
        <f>IF(OR(D1945=0,D1946="　"),"──",0.25)</f>
        <v>0.25</v>
      </c>
      <c r="F1959" s="8"/>
      <c r="G1959" s="8"/>
      <c r="H1959" s="102"/>
    </row>
    <row r="1960" spans="2:11" ht="12" customHeight="1">
      <c r="B1960" s="95" t="s">
        <v>123</v>
      </c>
      <c r="C1960" s="18" t="s">
        <v>32</v>
      </c>
      <c r="D1960" s="192">
        <v>90</v>
      </c>
      <c r="E1960" s="193" t="str">
        <f>IF(D1960&lt;D1961,"NG：削孔径不適合","")</f>
        <v/>
      </c>
      <c r="F1960" s="8"/>
      <c r="G1960" s="8"/>
      <c r="H1960" s="102"/>
    </row>
    <row r="1961" spans="2:11" ht="12" customHeight="1">
      <c r="B1961" s="25" t="s">
        <v>122</v>
      </c>
      <c r="C1961" s="26" t="s">
        <v>32</v>
      </c>
      <c r="D1961" s="194" cm="1">
        <f t="array" ref="D1961">IF(OR(D1945=0,D1946="　"),"──",IF(D1951="なし",IF(MID(D1946,4,1)="5",_xlfn.IFS(1*MID(LEFT(D1946, LEN(D1946)-1),6,2)&lt;6,90,1*MID(LEFT(D1946, LEN(D1946)-1),6,2)&lt;9,115,1*MID(LEFT(D1946, LEN(D1946)-1),6,2)&gt;8,135),_xlfn.IFS(1*MID(LEFT(D1946, LEN(D1946)-1),6,2)&lt;4,90,1*MID(LEFT(D1946, LEN(D1946)-1),6,2)&lt;7,115,1*MID(LEFT(D1946, LEN(D1946)-1),6,2)&lt;10,135,1*MID(LEFT(D1946, LEN(D1946)-1),6,2)&lt;13,146,1*MID(LEFT(D1946, LEN(D1946)-1),6,2)&gt;12,165)),IF(MID(D1946,4,1)="5",_xlfn.IFS(1*MID(LEFT(D1946, LEN(D1946)-1),6,2)&lt;3,90,1*MID(LEFT(D1946, LEN(D1946)-1),6,2)&lt;7,115,1*MID(LEFT(D1946, LEN(D1946)-1),6,2)&lt;9,135,1*MID(LEFT(D1946, LEN(D1946)-1),6,2)&gt;8,146),_xlfn.IFS(1*MID(LEFT(D1946, LEN(D1946)-1),6,2)&lt;3,90,1*MID(LEFT(D1946, LEN(D1946)-1),6,2)&lt;4,115,1*MID(LEFT(D1946, LEN(D1946)-1),6,2)&lt;6,135,1*MID(LEFT(D1946, LEN(D1946)-1),6,2)&lt;10,146,1*MID(LEFT(D1946, LEN(D1946)-1),6,2)&lt;13,165,1*MID(LEFT(D1946, LEN(D1946)-1),6,2)&gt;12,216))))</f>
        <v>90</v>
      </c>
      <c r="E1961" s="195"/>
      <c r="F1961" s="8"/>
      <c r="G1961" s="8"/>
      <c r="H1961" s="102"/>
    </row>
    <row r="1962" spans="2:11" ht="12" customHeight="1">
      <c r="B1962" s="20"/>
      <c r="C1962" s="46"/>
      <c r="D1962" s="117"/>
      <c r="F1962" s="8"/>
      <c r="G1962" s="8"/>
      <c r="H1962" s="102"/>
    </row>
    <row r="1963" spans="2:11" ht="12" customHeight="1">
      <c r="B1963" s="15" t="str">
        <f>"■"&amp;MID(B1940,2,14)</f>
        <v>■本設：EHDアンカーHP工法</v>
      </c>
      <c r="C1963" s="3"/>
      <c r="D1963" s="1"/>
      <c r="E1963" s="1"/>
      <c r="F1963" s="8"/>
      <c r="G1963" s="8"/>
      <c r="H1963" s="102"/>
    </row>
    <row r="1964" spans="2:11" ht="12" customHeight="1">
      <c r="B1964" s="2" t="s">
        <v>17</v>
      </c>
      <c r="C1964" s="43"/>
      <c r="D1964" s="196" t="s">
        <v>148</v>
      </c>
      <c r="E1964" s="135"/>
      <c r="F1964" s="16"/>
      <c r="G1964" s="61" t="s">
        <v>42</v>
      </c>
      <c r="H1964" s="97"/>
      <c r="I1964" s="2" t="s">
        <v>21</v>
      </c>
      <c r="J1964" s="49" t="s">
        <v>149</v>
      </c>
      <c r="K1964" s="2" t="s">
        <v>28</v>
      </c>
    </row>
    <row r="1965" spans="2:11" ht="12" customHeight="1">
      <c r="B1965" s="197" t="s">
        <v>150</v>
      </c>
      <c r="C1965" s="198" t="str">
        <f>IF(OR(D1945=0,D1946="　"),"",D1946&amp;" ("&amp;MID(LEFT(D1946, LEN(D1946)-1),6,2)&amp;IF(MID(D1946,4,1)="5","φ12.7","φ15.2")&amp;")")</f>
        <v>EHD5-4H (4φ12.7)</v>
      </c>
      <c r="D1965" s="199"/>
      <c r="E1965" s="200"/>
      <c r="F1965" s="201" t="str">
        <f>"W=テンドン長×PC鋼より線本数×"&amp;IF(MID(D1946,4,1)="5","0.774","1.101")&amp;"kg/m"</f>
        <v>W=テンドン長×PC鋼より線本数×0.774kg/m</v>
      </c>
      <c r="G1965" s="202"/>
      <c r="H1965" s="203"/>
      <c r="I1965" s="204" t="s">
        <v>11</v>
      </c>
      <c r="J1965" s="205">
        <f>IF(OR(D1945=0,D1946="　"),"",MROUND(D1958*MID(LEFT(D1946, LEN(D1946)-1),6,2)*IF(MID(D1946,4,1)="5","0.774","1.101"),0.01))</f>
        <v>30.03</v>
      </c>
      <c r="K1965" s="205">
        <f>IFERROR(D1945*J1965,"")</f>
        <v>300.3</v>
      </c>
    </row>
    <row r="1966" spans="2:11" ht="12" customHeight="1">
      <c r="B1966" s="206" t="s">
        <v>151</v>
      </c>
      <c r="C1966" s="207"/>
      <c r="D1966" s="208"/>
      <c r="E1966" s="209"/>
      <c r="F1966" s="210" t="s">
        <v>33</v>
      </c>
      <c r="G1966" s="211"/>
      <c r="H1966" s="212"/>
      <c r="I1966" s="213" t="s">
        <v>12</v>
      </c>
      <c r="J1966" s="214">
        <f>IF(OR(D1945=0,D1946="　"),"",MROUND(D1958,0.1))</f>
        <v>9.7000000000000011</v>
      </c>
      <c r="K1966" s="214">
        <f>IFERROR(D1945*J1966,"")</f>
        <v>97.000000000000014</v>
      </c>
    </row>
    <row r="1967" spans="2:11" ht="12" customHeight="1">
      <c r="B1967" s="206" t="str">
        <f>"頭部キャップ"</f>
        <v>頭部キャップ</v>
      </c>
      <c r="C1967" s="207" t="str" cm="1">
        <f t="array" ref="C1967">IF(OR(D1945=0,D1946="　"),"",IF(MID(D1946,4,1)="5",_xlfn.SWITCH(1*MID(LEFT(D1946, LEN(D1946)-1),6,2),1,"S",2,"S",3,"S",4,"S",5,"M",6,"M",7,"M",8,"L",9,"L",10,"L",11,"L",12,"L"),_xlfn.SWITCH(1*MID(LEFT(D1946, LEN(D1946)-1),6,2),1,"S",2,"S",3,"M",4,"M",5,"L",6,"L",7,"L",8,"LL",9,"LL",10,"LL",11,"LL",12,"LL",13,"LL",14,"LL"))&amp;"型"&amp;D1948&amp;IF(OR(MID(D1948,1,2)="透明",MID(D1948,1,2)="5窓"),"、PC樹脂","")&amp;"、ｱﾙﾐAC4C相当"&amp;_xlfn.IFS(MID(D1947,1,3)="防食Ⅱ","",MID(D1947,5,2)="塩害","、防食：ﾀｹｺｰﾄ処理",MID(D1947,5,2)="酸性","、防食：重防食処理"))</f>
        <v>S型透明キャップ、PC樹脂、ｱﾙﾐAC4C相当</v>
      </c>
      <c r="D1967" s="215"/>
      <c r="E1967" s="216"/>
      <c r="F1967" s="217" t="str">
        <f t="shared" ref="F1967:F1973" si="77">"n=1"</f>
        <v>n=1</v>
      </c>
      <c r="G1967" s="218"/>
      <c r="H1967" s="219"/>
      <c r="I1967" s="213" t="s">
        <v>13</v>
      </c>
      <c r="J1967" s="220" t="str">
        <f>IF(OR(D1945=0,D1946="　"),"",MID(F1967,3,2))</f>
        <v>1</v>
      </c>
      <c r="K1967" s="214">
        <f>IFERROR(D1945*J1967,"")</f>
        <v>10</v>
      </c>
    </row>
    <row r="1968" spans="2:11" ht="12" customHeight="1">
      <c r="B1968" s="206" t="s">
        <v>5</v>
      </c>
      <c r="C1968" s="207" t="str" cm="1">
        <f t="array" ref="C1968">IF(OR(D1945=0,D1946="　"),"",IF(MID(D1946,4,1)="5","G5"&amp;_xlfn.SWITCH(1*MID(LEFT(D1946, LEN(D1946)-1),6,2),1,"01",2,"02",3,"03",4,"04",5,"07",6,"07",7,"07",8,"09",9,"09",10,"12",11,"12",12,"12"),"G6"&amp;_xlfn.SWITCH(1*MID(LEFT(D1946, LEN(D1946)-1),6,2),1,"01",2,"02",3,"03",4,"04",5,"07",6,"07",7,"07",8,"09",9,"09",10,"12",11,"12",12,"12",13,"14",14,"14"))&amp;"、S45C相当"&amp;IF(MID(D1948,1,3)&lt;&gt;"アルミ","、防食：無電解Niめっき",""))</f>
        <v>G504、S45C相当、防食：無電解Niめっき</v>
      </c>
      <c r="D1968" s="208"/>
      <c r="E1968" s="209"/>
      <c r="F1968" s="217" t="str">
        <f t="shared" si="77"/>
        <v>n=1</v>
      </c>
      <c r="G1968" s="218"/>
      <c r="H1968" s="219"/>
      <c r="I1968" s="213" t="s">
        <v>13</v>
      </c>
      <c r="J1968" s="220" t="str">
        <f>IF(OR(D1945=0,D1946="　"),"",MID(F1968,3,2))</f>
        <v>1</v>
      </c>
      <c r="K1968" s="214">
        <f>IFERROR(D1945*J1968,"")</f>
        <v>10</v>
      </c>
    </row>
    <row r="1969" spans="2:11" ht="12" customHeight="1">
      <c r="B1969" s="206" t="s">
        <v>152</v>
      </c>
      <c r="C1969" s="207" t="str" cm="1">
        <f t="array" ref="C1969">IF(OR(D1945=0,D1946="　"),"",IF(MID(D1946,4,1)="5","G5"&amp;_xlfn.SWITCH(1*MID(LEFT(D1946, LEN(D1946)-1),6,2),1,"01",2,"02",3,"03",4,"04",5,"07",6,"07",7,"07",8,"09",9,"09",10,"12",11,"12",12,"12"),"G6"&amp;_xlfn.SWITCH(1*MID(LEFT(D1946, LEN(D1946)-1),6,2),1,"01",2,"02",3,"03",4,"04",5,"07",6,"07",7,"07",8,"09",9,"09",10,"12",11,"12",12,"12",13,"14",14,"14"))&amp;"、S45C相当"&amp;IF(MID(D1948,1,3)&lt;&gt;"アルミ","、防食：無電解Niめっき",""))</f>
        <v>G504、S45C相当、防食：無電解Niめっき</v>
      </c>
      <c r="D1969" s="208"/>
      <c r="E1969" s="209"/>
      <c r="F1969" s="217" t="str">
        <f t="shared" si="77"/>
        <v>n=1</v>
      </c>
      <c r="G1969" s="218"/>
      <c r="H1969" s="219"/>
      <c r="I1969" s="213" t="s">
        <v>13</v>
      </c>
      <c r="J1969" s="220" t="str">
        <f>IF(OR(D1945=0,D1946="　"),"",MID(F1969,3,2))</f>
        <v>1</v>
      </c>
      <c r="K1969" s="214">
        <f>IFERROR(D1945*J1969,"")</f>
        <v>10</v>
      </c>
    </row>
    <row r="1970" spans="2:11" ht="12" customHeight="1">
      <c r="B1970" s="206" t="s">
        <v>7</v>
      </c>
      <c r="C1970" s="207" t="str">
        <f>IF(OR(D1945=0,D1946="　"),"",IF(1*MID(D1946,4,1)=5,"ECF12.7","ECF15.2")&amp;"、SCM415相当"&amp;IF(MID(D1948,1,3)&lt;&gt;"アルミ","、防食：無電解Niめっき",""))</f>
        <v>ECF12.7、SCM415相当、防食：無電解Niめっき</v>
      </c>
      <c r="D1970" s="208"/>
      <c r="E1970" s="209"/>
      <c r="F1970" s="217" t="str">
        <f t="shared" si="77"/>
        <v>n=1</v>
      </c>
      <c r="G1970" s="218"/>
      <c r="H1970" s="219"/>
      <c r="I1970" s="213" t="s">
        <v>27</v>
      </c>
      <c r="J1970" s="220" t="str">
        <f>IF(OR(D1945=0,D1946="　"),"",MID(F1970,3,2))</f>
        <v>1</v>
      </c>
      <c r="K1970" s="214">
        <f>IFERROR(D1945*J1970,"")</f>
        <v>10</v>
      </c>
    </row>
    <row r="1971" spans="2:11" ht="12" customHeight="1">
      <c r="B1971" s="206" t="s">
        <v>153</v>
      </c>
      <c r="C1971" s="207" t="str" cm="1">
        <f t="array" ref="C1971">IF(OR(D1945=0,D1946="　"),"",IF(MID(D1946,4,1)="5","G5"&amp;_xlfn.SWITCH(1*MID(LEFT(D1946, LEN(D1946)-1),6,2),1,"01",2,"04",3,"03",4,"04",5,"07",6,"07",7,"07",8,"12",9,"12",10,"12",11,"12",12,"12"),"G6"&amp;_xlfn.SWITCH(1*MID(LEFT(D1946, LEN(D1946)-1),6,2),1,"01",2,"02",3,"03",4,"04",5,"07",6,"07",7,"07",8,"12",9,"12",10,"12",11,"12",12,"12",13,"14",14,"14"))&amp;"、SS400相当、防食："&amp;_xlfn.IFS(MID(D1947,1,3)="防食Ⅱ","HDZT77めっき",MID(D1947,5,2)="塩害","ｱﾙﾐﾅｲｽﾞ処理",MID(D1947,5,2)="酸性","重防食処理"))</f>
        <v>G504、SS400相当、防食：HDZT77めっき</v>
      </c>
      <c r="D1971" s="208"/>
      <c r="E1971" s="209"/>
      <c r="F1971" s="217" t="str">
        <f t="shared" si="77"/>
        <v>n=1</v>
      </c>
      <c r="G1971" s="218"/>
      <c r="H1971" s="219"/>
      <c r="I1971" s="213" t="s">
        <v>16</v>
      </c>
      <c r="J1971" s="220" t="str">
        <f>IF(OR(D1945=0,D1946="　"),"",MID(F1971,3,2))</f>
        <v>1</v>
      </c>
      <c r="K1971" s="214">
        <f>IFERROR(D1945*J1971,"")</f>
        <v>10</v>
      </c>
    </row>
    <row r="1972" spans="2:11" ht="12" customHeight="1">
      <c r="B1972" s="206" t="str">
        <f>IF(MID(D1949,1,3)="のり面","管付","")&amp;"支圧板"</f>
        <v>管付支圧板</v>
      </c>
      <c r="C1972" s="221" t="str" cm="1">
        <f t="array" ref="C1972">IF(OR(D1945=0,D1946="　"),"","PL"&amp;IF(MID(D1949,1,3)="のり面","P","")&amp;IF(MID(D1946,4,1)="5","5-"&amp;_xlfn.SWITCH(1*MID(LEFT(D1946, LEN(D1946)-1),6,2),1,"1",2,"2",3,"3",4,"4",5,"5",6,"6",7,"7",8,"9",9,"9",10,"10",11,"11",12,"12"),"6-"&amp;_xlfn.SWITCH(1*MID(LEFT(D1946, LEN(D1946)-1),6,2),1,"1",2,"2",3,"3",4,"4",5,"6",6,"6",7,"7",8,"8",9,"9",10,"10",11,"11",12,"12",13,"14",14,"14"))&amp;"、SS400相当、防食："&amp;_xlfn.IFS(MID(D1947,1,3)="防食Ⅱ","HDZT77めっき",MID(D1947,5,2)="塩害","ｱﾙﾐﾅｲｽﾞ処理",MID(D1947,5,2)="酸性","重防食処理"))</f>
        <v>PLP5-4、SS400相当、防食：HDZT77めっき</v>
      </c>
      <c r="D1972" s="208"/>
      <c r="E1972" s="209"/>
      <c r="F1972" s="217" t="str">
        <f t="shared" si="77"/>
        <v>n=1</v>
      </c>
      <c r="G1972" s="218"/>
      <c r="H1972" s="219"/>
      <c r="I1972" s="213" t="s">
        <v>16</v>
      </c>
      <c r="J1972" s="220" t="str">
        <f>IF(OR(D1945=0,D1946="　"),"",MID(F1972,3,2))</f>
        <v>1</v>
      </c>
      <c r="K1972" s="214">
        <f>IFERROR(D1945*J1972,"")</f>
        <v>10</v>
      </c>
    </row>
    <row r="1973" spans="2:11" ht="12" customHeight="1">
      <c r="B1973" s="206" t="s">
        <v>154</v>
      </c>
      <c r="C1973" s="207" t="str">
        <f>IF(OR(D1945=0,D1946="　"),"","G"&amp;MID(LEFT(D1946, LEN(D1946)-1),4,4)&amp;"、NBR45相当")</f>
        <v>G5-4、NBR45相当</v>
      </c>
      <c r="D1973" s="208"/>
      <c r="E1973" s="209"/>
      <c r="F1973" s="217" t="str">
        <f t="shared" si="77"/>
        <v>n=1</v>
      </c>
      <c r="G1973" s="218"/>
      <c r="H1973" s="219"/>
      <c r="I1973" s="213" t="s">
        <v>13</v>
      </c>
      <c r="J1973" s="220" t="str">
        <f>IF(OR(D1945=0,D1946="　"),"",MID(F1973,3,2))</f>
        <v>1</v>
      </c>
      <c r="K1973" s="214">
        <f>IFERROR(D1945*J1973,"")</f>
        <v>10</v>
      </c>
    </row>
    <row r="1974" spans="2:11" ht="12" customHeight="1">
      <c r="B1974" s="206" t="str" cm="1">
        <f t="array" ref="B1974">_xlfn.IFS(OR(D1945=0,D1946="　"),"",MID(D1948,1,3)="アルミ","頭部防錆油",MID(D1948,1,3)&lt;&gt;"アルミ","余長キャップ")</f>
        <v>余長キャップ</v>
      </c>
      <c r="C1974" s="221" t="str" cm="1">
        <f t="array" ref="C1974">_xlfn.IFS(OR(D1945=0,D1946="　"),"",MID(D1948,1,3)="アルミ","PCコートC",MID(D1948,1,3)&lt;&gt;"アルミ","TC"&amp;MID(D1946,4,1)&amp;"、高密度ポチエチレン")</f>
        <v>TC5、高密度ポチエチレン</v>
      </c>
      <c r="D1974" s="208"/>
      <c r="E1974" s="209"/>
      <c r="F1974" s="217" t="str" cm="1">
        <f t="array" ref="F1974">_xlfn.IFS(OR(D1945=0,D1946="　"),"",MID(D1948,1,3)="アルミ","W="&amp;IF(MID(D1946,4,1)="5",_xlfn.SWITCH(1*MID(LEFT(D1946, LEN(D1946)-1),6,2),1,1.9,2,1.3,3,1.3,4,1.3,5,1.6,6,1.6,7,1.6,8,3.1,9,3.1,10,3.1,11,3.1,12,3.1),"G6"&amp;_xlfn.SWITCH(1*MID(LEFT(D1946, LEN(D1946)-1),6,2),1,1.8,2,1.3,3,1.8,4,1.8,5,3.3,6,3.3,7,3.3,8,9.9,9,9.9,10,9.9,11,9.9,12,9.9,13,9.9,14,9.9)),MID(D1948,1,3)&lt;&gt;"アルミ","n=1")</f>
        <v>n=1</v>
      </c>
      <c r="G1974" s="218"/>
      <c r="H1974" s="219"/>
      <c r="I1974" s="213" t="str" cm="1">
        <f t="array" ref="I1974">_xlfn.IFS(OR(D1945=0,D1946="　"),"",MID(D1948,1,3)="アルミ","kg",MID(D1948,1,3)&lt;&gt;"アルミ","式")</f>
        <v>式</v>
      </c>
      <c r="J1974" s="220" t="str">
        <f>IF(OR(D1945=0,D1946="　"),"",MID(F1974,3,4))</f>
        <v>1</v>
      </c>
      <c r="K1974" s="214">
        <f>IFERROR(D1945*J1974,"")</f>
        <v>10</v>
      </c>
    </row>
    <row r="1975" spans="2:11" ht="12" customHeight="1">
      <c r="B1975" s="206" t="s">
        <v>9</v>
      </c>
      <c r="C1975" s="207" t="str" cm="1">
        <f t="array" ref="C1975">IF(OR(D1945=0,D1946="　"),"",IF(MID(D1946,4,1)="5","PS5-"&amp;_xlfn.SWITCH(1*MID(LEFT(D1946, LEN(D1946)-1),6,2),1,"7",2,"2",3,"3",4,"4",5,"7",6,"7",7,"7",8,"12",9,"12",10,"12",11,"12",12,"12"),"PS6-"&amp;_xlfn.SWITCH(1*MID(LEFT(D1946, LEN(D1946)-1),6,2),1,"7",2,"2",3,"3",4,"4",5,"7",6,"7",7,"7",8,"12",9,"12",10,"12",11,"12",12,"12",13,"14",14,"14"))&amp;"、高密度ポリエチレン")</f>
        <v>PS5-4、高密度ポリエチレン</v>
      </c>
      <c r="D1975" s="208"/>
      <c r="E1975" s="209"/>
      <c r="F1975" s="217" t="str">
        <f>"n=2"</f>
        <v>n=2</v>
      </c>
      <c r="G1975" s="218"/>
      <c r="H1975" s="219"/>
      <c r="I1975" s="213" t="s">
        <v>13</v>
      </c>
      <c r="J1975" s="220" t="str">
        <f>IF(OR(D1945=0,D1946="　"),"",MID(F1975,3,2))</f>
        <v>2</v>
      </c>
      <c r="K1975" s="214">
        <f>IFERROR(D1945*J1975,"")</f>
        <v>20</v>
      </c>
    </row>
    <row r="1976" spans="2:11" ht="12" customHeight="1">
      <c r="B1976" s="206" t="s">
        <v>2</v>
      </c>
      <c r="C1976" s="207" t="str" cm="1">
        <f t="array" ref="C1976">IF(OR(D1945=0,D1946="　"),"",IF(MID(D1946,4,1)="5","S5-"&amp;_xlfn.IFS(1*MID(LEFT(D1946, LEN(D1946)-1),6,2)&lt;6,"5",1*MID(LEFT(D1946, LEN(D1946)-1),6,2)&lt;9,"8",1*MID(LEFT(D1946, LEN(D1946)-1),6,2)&gt;8,"12"),"S6-"&amp;_xlfn.IFS(1*MID(LEFT(D1946, LEN(D1946)-1),6,2)&lt;4,"3",1*MID(LEFT(D1946, LEN(D1946)-1),6,2)&lt;7,"6",1*MID(LEFT(D1946, LEN(D1946)-1),6,2)&lt;10,"9",1*MID(LEFT(D1946, LEN(D1946)-1),6,2)&lt;13,"12",1*MID(LEFT(D1946, LEN(D1946)-1),6,2)&gt;12,"14"))&amp;"、ポリプロピレン")</f>
        <v>S5-5、ポリプロピレン</v>
      </c>
      <c r="D1976" s="208"/>
      <c r="E1976" s="209"/>
      <c r="F1976" s="222" t="s">
        <v>155</v>
      </c>
      <c r="G1976" s="211"/>
      <c r="H1976" s="212"/>
      <c r="I1976" s="213" t="s">
        <v>13</v>
      </c>
      <c r="J1976" s="206">
        <f>IF(OR(D1945=0,D1946="　"),"",MROUND((D1954-0.4)/1,1))</f>
        <v>4</v>
      </c>
      <c r="K1976" s="214">
        <f>IFERROR(D1945*J1976,"")</f>
        <v>40</v>
      </c>
    </row>
    <row r="1977" spans="2:11" ht="12" customHeight="1">
      <c r="B1977" s="206" t="s">
        <v>1</v>
      </c>
      <c r="C1977" s="207" t="str" cm="1">
        <f t="array" ref="C1977">IF(OR(D1945=0,D1946="　"),"",IF(MID(D1946,4,1)="5","PC5-"&amp;_xlfn.IFS(1*MID(LEFT(D1946, LEN(D1946)-1),6,2)&lt;5,"4",1*MID(LEFT(D1946, LEN(D1946)-1),6,2)&lt;8,"7",1*MID(LEFT(D1946, LEN(D1946)-1),6,2)&lt;10,"9",1*MID(LEFT(D1946, LEN(D1946)-1),6,2)&gt;9,"12"),"PC6-"&amp;_xlfn.IFS(1*MID(LEFT(D1946, LEN(D1946)-1),6,2)&lt;4,"3",1*MID(LEFT(D1946, LEN(D1946)-1),6,2)&lt;8,"7",1*MID(LEFT(D1946, LEN(D1946)-1),6,2)&lt;13,"12",1*MID(LEFT(D1946, LEN(D1946)-1),6,2)&gt;12,"14"))&amp;"、ポリプロピレン")</f>
        <v>PC5-4、ポリプロピレン</v>
      </c>
      <c r="D1977" s="208"/>
      <c r="E1977" s="209"/>
      <c r="F1977" s="217" t="str">
        <f>"n=1"</f>
        <v>n=1</v>
      </c>
      <c r="G1977" s="218"/>
      <c r="H1977" s="219"/>
      <c r="I1977" s="213" t="s">
        <v>13</v>
      </c>
      <c r="J1977" s="220" t="str">
        <f>IF(OR(D1945=0,D1946="　"),"",MID(F1977,3,2))</f>
        <v>1</v>
      </c>
      <c r="K1977" s="214">
        <f>IFERROR(D1945*J1977,"")</f>
        <v>10</v>
      </c>
    </row>
    <row r="1978" spans="2:11" ht="12" customHeight="1">
      <c r="B1978" s="206" t="s">
        <v>3</v>
      </c>
      <c r="C1978" s="207" t="str">
        <f>IF(OR(D1945=0,D1946="　"),"","66ナイロン")</f>
        <v>66ナイロン</v>
      </c>
      <c r="D1978" s="208"/>
      <c r="E1978" s="209"/>
      <c r="F1978" s="222" t="s">
        <v>156</v>
      </c>
      <c r="G1978" s="211"/>
      <c r="H1978" s="212"/>
      <c r="I1978" s="213" t="s">
        <v>14</v>
      </c>
      <c r="J1978" s="206">
        <f>IF(OR(D1945=0,D1946="　"),"",2*J1976)</f>
        <v>8</v>
      </c>
      <c r="K1978" s="214">
        <f>IFERROR(D1945*J1978,"")</f>
        <v>80</v>
      </c>
    </row>
    <row r="1979" spans="2:11" ht="12" customHeight="1">
      <c r="B1979" s="206" t="s">
        <v>4</v>
      </c>
      <c r="C1979" s="207" t="str">
        <f>IF(OR(D1945=0,D1946="　"),"","フィラメントテープ")</f>
        <v>フィラメントテープ</v>
      </c>
      <c r="D1979" s="208"/>
      <c r="E1979" s="209"/>
      <c r="F1979" s="222" t="str">
        <f>IF(OR(D1945=0,D1946="　"),"","L=((自由長+緊張部長)÷@1.0m)×テープ係数"&amp;IF(MID(D1946,4,1)="5",_xlfn.IFS(1*MID(LEFT(D1946, LEN(D1946)-1),6,2)&lt;4,"0.8",1*MID(LEFT(D1946, LEN(D1946)-1),6,2)&lt;7,"1.0",1*MID(LEFT(D1946, LEN(D1946)-1),6,2)&lt;10,"1.2",1*MID(LEFT(D1946, LEN(D1946)-1),6,2)&lt;13,"1.4"),_xlfn.IFS(1*MID(LEFT(D1946, LEN(D1946)-1),6,2)&lt;4,"1.0",1*MID(LEFT(D1946, LEN(D1946)-1),6,2)&lt;7,"1.2",1*MID(LEFT(D1946, LEN(D1946)-1),6,2)&lt;10,"1.4",1*MID(LEFT(D1946, LEN(D1946)-1),6,2)&lt;15,"1.8")))</f>
        <v>L=((自由長+緊張部長)÷@1.0m)×テープ係数1.0</v>
      </c>
      <c r="G1979" s="211"/>
      <c r="H1979" s="212"/>
      <c r="I1979" s="213" t="s">
        <v>12</v>
      </c>
      <c r="J1979" s="223">
        <f>IF(OR(D1945=0,D1946="　"),"",MROUND((SUM(D1955,D1956))/1*RIGHT(F1979, 3),0.1))</f>
        <v>5.5</v>
      </c>
      <c r="K1979" s="214">
        <f>IFERROR(D1945*J1979,"")</f>
        <v>55</v>
      </c>
    </row>
    <row r="1980" spans="2:11" ht="12" customHeight="1">
      <c r="B1980" s="206" t="s">
        <v>0</v>
      </c>
      <c r="C1980" s="207" t="str">
        <f>IF(OR(D1945=0,D1946="　"),"","16/20、高密度ポリエチレン")</f>
        <v>16/20、高密度ポリエチレン</v>
      </c>
      <c r="D1980" s="208"/>
      <c r="E1980" s="209"/>
      <c r="F1980" s="210" t="s">
        <v>33</v>
      </c>
      <c r="G1980" s="211"/>
      <c r="H1980" s="212"/>
      <c r="I1980" s="213" t="s">
        <v>12</v>
      </c>
      <c r="J1980" s="214">
        <f>IF(OR(D1945=0,D1946="　"),"",MROUND(D1958,0.1))</f>
        <v>9.7000000000000011</v>
      </c>
      <c r="K1980" s="214">
        <f>IFERROR(D1945*J1980,"")</f>
        <v>97.000000000000014</v>
      </c>
    </row>
    <row r="1981" spans="2:11" ht="12" customHeight="1">
      <c r="B1981" s="206" t="str" cm="1">
        <f t="array" ref="B1981">_xlfn.IFS(OR(D1945=0,D1946="　",MID(D1949,1,2)="なし",MID(D1949,1,3)="受圧体"),"",MID(D1949,1,3)="のり面","のり面角度台座",MID(D1949,1,3)="構造物","構造物壁面台座",MID(D1949,1,3)="土留め","土留め台座")</f>
        <v>のり面角度台座</v>
      </c>
      <c r="C1981" s="210" t="str" cm="1">
        <f t="array" ref="C1981">IF(OR(D1945=0,D1946="　",MID(D1949,1,2)="なし",MID(D1949,1,3)="受圧体"),"",_xlfn.IFS(MID(D1949,1,3)="のり面",IF(1*MID(D1946,4,1)=5,_xlfn.IFS(1*MID(LEFT(D1946, LEN(D1946)-1),6,2)&lt;5,"ST140",1*MID(LEFT(D1946, LEN(D1946)-1),6,2)&lt;8,"ST170",1*MID(LEFT(D1946, LEN(D1946)-1),6,2)&lt;13,"ST220"),_xlfn.IFS(1*MID(LEFT(D1946, LEN(D1946)-1),6,2)&lt;4,"ST140",1*MID(LEFT(D1946, LEN(D1946)-1),6,2)&lt;5,"ST170",1*MID(LEFT(D1946, LEN(D1946)-1),6,2)&lt;8,"ST220",1*MID(LEFT(D1946, LEN(D1946)-1),6,2)&lt;15,"非該当"))&amp;"、FCD450相当、防食："&amp;_xlfn.IFS(MID(D1947,1,3)="防食Ⅱ","HDZT77めっき",MID(D1947,5,2)="塩害","ｱﾙﾐﾅｲｽﾞ処理",MID(D1947,5,2)="酸性","重防食処理"),OR(MID(D1949,1,3)="構造物",MID(D1949,1,3)="土留め"),D1946&amp;"用"&amp;IF(OR(MID(D1949,1,3)="構造物",D1950="　"),"",D1950)&amp;"、防食："&amp;_xlfn.IFS(MID(D1947,1,3)="防食Ⅱ","HDZT77めっき",MID(D1947,5,2)="塩害","ｱﾙﾐﾅｲｽﾞ処理",MID(D1947,5,2)="酸性","重防食処理")))</f>
        <v>ST140、FCD450相当、防食：HDZT77めっき</v>
      </c>
      <c r="D1981" s="208"/>
      <c r="E1981" s="209"/>
      <c r="F1981" s="217" t="str">
        <f>IF(OR(D1949="なし",D1949="受圧体のみ"),"","n=1")</f>
        <v>n=1</v>
      </c>
      <c r="G1981" s="218"/>
      <c r="H1981" s="219"/>
      <c r="I1981" s="213" t="str">
        <f>IF(OR(D1945=0,D1946="　",B1981=""),"","台")</f>
        <v>台</v>
      </c>
      <c r="J1981" s="220" t="str">
        <f>IF(OR(D1945=0,D1946="　"),"",MID(F1981,3,2))</f>
        <v>1</v>
      </c>
      <c r="K1981" s="214">
        <f>IFERROR(D1945*J1981,"")</f>
        <v>10</v>
      </c>
    </row>
    <row r="1982" spans="2:11" ht="12" customHeight="1">
      <c r="B1982" s="206" t="str">
        <f>IF(OR(D1945=0,D1946="　",MID(D1949,1,3)&lt;&gt;"のり面"),"","補剛板")</f>
        <v>補剛板</v>
      </c>
      <c r="C1982" s="210" t="str" cm="1">
        <f t="array" ref="C1982">IF(OR(D1945=0,D1946="　",MID(D1949,1,3)&lt;&gt;"のり面"),"",IF(MID(D1946,4,1)="5","□"&amp;_xlfn.SWITCH(1*MID(LEFT(D1946, LEN(D1946)-1),6,2),1,"210φ131t12",2,"210φ131t12",3,"240φ131t12",4,"270φ131t12",5,"280φ143t12",6,"310φ143t16",7,"350φ143t19",8,"350φ180t19",9,"350φ180t19",10,"350φ180t19",11,"350φ180t22",12,"350φ180t22"),"□"&amp;_xlfn.SWITCH(1*MID(LEFT(D1946, LEN(D1946)-1),6,2),1,"210,φ131,t12",2,"240,φ131,t12",3,"270,φ131,t16",4,"300,φ143,t16",5,"350,φ180,t16",6,"350,φ180,t16",7,"350,φ180,t19",8,"400,φ──,t12",9,"400,φ──,t12",10,"400,φ──,t12",11,"400,φ──,t12",12,"400,φ──,t12",13,"400,φ──,t12",14,"400,φ──,t12"))&amp;"、SS400相当、防食："&amp;_xlfn.IFS(MID(D1947,1,3)="防食Ⅱ","HDZT77めっき",MID(D1947,5,2)="塩害","ｱﾙﾐﾅｲｽﾞ処理",MID(D1947,5,2)="酸性","重防食処理"))</f>
        <v>□270φ131t12、SS400相当、防食：HDZT77めっき</v>
      </c>
      <c r="D1982" s="208"/>
      <c r="E1982" s="209"/>
      <c r="F1982" s="217" t="str">
        <f>IF(OR(D1945=0,D1946="　",MID(D1949,1,3)&lt;&gt;"のり面"),"","n=1")</f>
        <v>n=1</v>
      </c>
      <c r="G1982" s="218"/>
      <c r="H1982" s="219"/>
      <c r="I1982" s="213" t="str">
        <f>IF(OR(D1945=0,D1946="　",B1982="",MID(D1949,1,3)&lt;&gt;"のり面"),"","枚")</f>
        <v>枚</v>
      </c>
      <c r="J1982" s="220" t="str">
        <f>IF(OR(D1945=0,D1946="　"),"",MID(F1982,3,2))</f>
        <v>1</v>
      </c>
      <c r="K1982" s="214">
        <f>IFERROR(D1945*J1982,"")</f>
        <v>10</v>
      </c>
    </row>
    <row r="1983" spans="2:11" ht="12" customHeight="1">
      <c r="B1983" s="206" t="str" cm="1">
        <f t="array" ref="B1983">_xlfn.IFS(OR(D1945=0,D1946="　"),"",MID(D1948,1,3)="アルミ","",MID(D1948,1,3)&lt;&gt;"アルミ","テンドン補修用塗料")</f>
        <v>テンドン補修用塗料</v>
      </c>
      <c r="C1983" s="210" t="str" cm="1">
        <f t="array" ref="C1983">_xlfn.IFS(OR(D1945=0,D1946="　"),"",MID(D1948,1,3)="アルミ","",MID(D1948,1,3)&lt;&gt;"アルミ","エポキシ樹脂")</f>
        <v>エポキシ樹脂</v>
      </c>
      <c r="D1983" s="208"/>
      <c r="E1983" s="209"/>
      <c r="F1983" s="217" t="str" cm="1">
        <f t="array" ref="F1983">_xlfn.IFS(OR(D1945=0,D1946="　"),"",MID(D1948,1,3)="アルミ","",MID(D1948,1,3)&lt;&gt;"アルミ","W=PC鋼より線本数×"&amp;IF(MID(D1946,4,1)="5","0.28","0.40"))</f>
        <v>W=PC鋼より線本数×0.28</v>
      </c>
      <c r="G1983" s="218"/>
      <c r="H1983" s="219"/>
      <c r="I1983" s="213" t="str" cm="1">
        <f t="array" ref="I1983">_xlfn.IFS(OR(D1945=0,D1946="　"),"",MID(D1948,1,3)="アルミ","",MID(D1948,1,3)&lt;&gt;"アルミ","g")</f>
        <v>g</v>
      </c>
      <c r="J1983" s="224" cm="1">
        <f t="array" ref="J1983">_xlfn.IFS(OR(D1945=0,D1946="　"),"",MID(D1948,1,3)="アルミ","",MID(D1948,1,3)&lt;&gt;"アルミ",MID(LEFT(D1946, LEN(D1946)-1),6,2)*IF(MID(D1946,4,1)="5",0.28,0.4))</f>
        <v>1.1200000000000001</v>
      </c>
      <c r="K1983" s="214">
        <f>IFERROR(D1945*J1983,"")</f>
        <v>11.200000000000001</v>
      </c>
    </row>
    <row r="1984" spans="2:11" ht="12" customHeight="1">
      <c r="B1984" s="206" t="str" cm="1">
        <f t="array" ref="B1984">_xlfn.IFS(OR(D1945=0,D1946="　"),"",MID(D1948,1,3)="アルミ","",MID(D1948,1,3)&lt;&gt;"アルミ","長期防錆スプレー")</f>
        <v>長期防錆スプレー</v>
      </c>
      <c r="C1984" s="210" t="str" cm="1">
        <f t="array" ref="C1984">_xlfn.IFS(OR(D1945=0,D1946="　"),"",MID(D1948,1,3)="アルミ","",MID(D1948,1,3)&lt;&gt;"アルミ","防錆オイル")</f>
        <v>防錆オイル</v>
      </c>
      <c r="D1984" s="208"/>
      <c r="E1984" s="209"/>
      <c r="F1984" s="217" t="str" cm="1">
        <f t="array" ref="F1984">_xlfn.IFS(OR(D1945=0,D1946="　"),"",MID(D1948,1,3)="アルミ","",MID(D1948,1,3)&lt;&gt;"アルミ","n=0.01×(PC鋼より線本数+"&amp;IF(MID(D1946,4,1)="5","6","12")&amp;")")</f>
        <v>n=0.01×(PC鋼より線本数+6)</v>
      </c>
      <c r="G1984" s="218"/>
      <c r="H1984" s="219"/>
      <c r="I1984" s="213" t="str" cm="1">
        <f t="array" ref="I1984">_xlfn.IFS(OR(D1945=0,D1946="　"),"",MID(D1948,1,3)="アルミ","",MID(D1948,1,3)&lt;&gt;"アルミ","缶")</f>
        <v>缶</v>
      </c>
      <c r="J1984" s="224" cm="1">
        <f t="array" ref="J1984">_xlfn.IFS(OR(D1945=0,D1946="　"),"",MID(D1948,1,3)="アルミ","",MID(D1948,1,3)&lt;&gt;"アルミ",0.01*(MID(LEFT(D1946, LEN(D1946)-1),6,2)+IF(MID(D1946,4,1)="5",6,12)))</f>
        <v>0.1</v>
      </c>
      <c r="K1984" s="214">
        <f>IFERROR(D1945*J1984,"")</f>
        <v>1</v>
      </c>
    </row>
    <row r="1985" spans="2:11" ht="12" customHeight="1">
      <c r="B1985" s="206" t="str">
        <f>IF(OR(D1945=0,D1946="　",D1951="なし"),"","フリーパッカー注入ホース")</f>
        <v/>
      </c>
      <c r="C1985" s="207" t="str">
        <f>IF(OR(D1945=0,D1946="　",B1985=""),"","16/20、高密度ポリエチレン")</f>
        <v/>
      </c>
      <c r="D1985" s="208"/>
      <c r="E1985" s="209"/>
      <c r="F1985" s="210" t="str">
        <f>IF(B1985="","","L=自由長+緊張部長")</f>
        <v/>
      </c>
      <c r="G1985" s="211"/>
      <c r="H1985" s="212"/>
      <c r="I1985" s="213" t="str">
        <f>IF(OR(D1945=0,D1946="　",B1985=""),"","m")</f>
        <v/>
      </c>
      <c r="J1985" s="214" t="str">
        <f>IF(OR(D1945=0,D1946="　"),"",IF(B1985="","",MROUND(D1955+D1956,0.1)))</f>
        <v/>
      </c>
      <c r="K1985" s="214" t="str">
        <f>IFERROR(D1945*J1985,"")</f>
        <v/>
      </c>
    </row>
    <row r="1986" spans="2:11" ht="12" customHeight="1">
      <c r="B1986" s="225" t="str">
        <f>IF(OR(D1945=0,D1946="　",D1951="なし"),"","フリーパッカー")</f>
        <v/>
      </c>
      <c r="C1986" s="217" t="str" cm="1">
        <f t="array" ref="C1986">IF(OR(D1945=0,D1946="　",B1985=""),"",_xlfn.SWITCH(D1960,90,"PA-170",115,"PA-200",135,"PA-240",146,"PA-240",165,"PA-350")&amp;"、織布")</f>
        <v/>
      </c>
      <c r="D1986" s="208"/>
      <c r="E1986" s="209"/>
      <c r="F1986" s="226" t="str">
        <f>IF(B1986="","","L=自由長+0.5m")</f>
        <v/>
      </c>
      <c r="G1986" s="227"/>
      <c r="H1986" s="228"/>
      <c r="I1986" s="213" t="str">
        <f>IF(OR(D1946=0,D1947="　",B1986=""),"","m")</f>
        <v/>
      </c>
      <c r="J1986" s="214" t="str">
        <f>IF(OR(D1945=0,D1946="　"),"",IF(B1986="","",MROUND(D1955+0.5,0.1)))</f>
        <v/>
      </c>
      <c r="K1986" s="214" t="str">
        <f>IFERROR(D1945*J1986,"")</f>
        <v/>
      </c>
    </row>
    <row r="1987" spans="2:11" ht="12" customHeight="1">
      <c r="B1987" s="206" t="str">
        <f>IF(OR(D1945=0,D1946="　",D1951="なし"),"","パッカー取付加工")</f>
        <v/>
      </c>
      <c r="C1987" s="207"/>
      <c r="D1987" s="208"/>
      <c r="E1987" s="209"/>
      <c r="F1987" s="217" t="str">
        <f>IF(B1987="","","n=1")</f>
        <v/>
      </c>
      <c r="G1987" s="218"/>
      <c r="H1987" s="219"/>
      <c r="I1987" s="213" t="str">
        <f>IF(OR(D1947=0,D1948="　",B1987=""),"","式")</f>
        <v/>
      </c>
      <c r="J1987" s="220" t="str">
        <f>IF(OR(D1945=0,D1946="　"),"",MID(F1987,3,2))</f>
        <v/>
      </c>
      <c r="K1987" s="206" t="str">
        <f>IFERROR(D1945*J1987,"")</f>
        <v/>
      </c>
    </row>
    <row r="1988" spans="2:11" ht="12" customHeight="1">
      <c r="B1988" s="229"/>
      <c r="C1988" s="230"/>
      <c r="D1988" s="231"/>
      <c r="E1988" s="232"/>
      <c r="F1988" s="233"/>
      <c r="G1988" s="234"/>
      <c r="H1988" s="235"/>
      <c r="I1988" s="236"/>
      <c r="J1988" s="237"/>
      <c r="K1988" s="229"/>
    </row>
    <row r="1989" spans="2:11" ht="12" customHeight="1">
      <c r="B1989" s="238" t="s">
        <v>30</v>
      </c>
      <c r="C1989" s="239" t="s">
        <v>31</v>
      </c>
      <c r="D1989" s="240"/>
      <c r="E1989" s="241"/>
      <c r="F1989" s="242" t="s">
        <v>157</v>
      </c>
      <c r="G1989" s="243"/>
      <c r="H1989" s="244"/>
      <c r="I1989" s="245" t="s">
        <v>55</v>
      </c>
      <c r="J1989" s="246">
        <f>IFERROR(MROUND(0.25*PI()*(0.001*D1960)^2*(D1953+D1954+D1959)*(1+2.2),0.01),"")</f>
        <v>0.17</v>
      </c>
      <c r="K1989" s="246">
        <f>IFERROR(D1945*J1989,"")</f>
        <v>1.7000000000000002</v>
      </c>
    </row>
    <row r="1991" spans="2:11" ht="12" customHeight="1">
      <c r="B1991" s="247" t="s">
        <v>136</v>
      </c>
      <c r="C1991" s="247"/>
      <c r="D1991" s="247"/>
      <c r="F1991" s="163"/>
      <c r="G1991" s="164"/>
      <c r="H1991" s="164"/>
    </row>
    <row r="1992" spans="2:11" ht="12" customHeight="1">
      <c r="B1992" s="15" t="s">
        <v>111</v>
      </c>
      <c r="C1992" s="15"/>
      <c r="D1992" s="1"/>
      <c r="E1992" s="1"/>
      <c r="H1992" s="119"/>
      <c r="J1992" s="118"/>
    </row>
    <row r="1993" spans="2:11" ht="12" customHeight="1">
      <c r="B1993" s="165" t="s">
        <v>166</v>
      </c>
      <c r="C1993" s="3"/>
      <c r="D1993" s="1"/>
      <c r="E1993" s="1"/>
      <c r="F1993" s="8"/>
      <c r="G1993" s="8"/>
      <c r="H1993" s="102"/>
      <c r="I1993" s="28"/>
      <c r="J1993" s="118"/>
    </row>
    <row r="1994" spans="2:11" ht="12" customHeight="1">
      <c r="B1994" s="15" t="s">
        <v>40</v>
      </c>
      <c r="C1994" s="3"/>
      <c r="D1994" s="1"/>
      <c r="E1994" s="1"/>
      <c r="F1994" s="15" t="s">
        <v>54</v>
      </c>
      <c r="G1994" s="15"/>
      <c r="H1994" s="102"/>
      <c r="I1994" s="28"/>
    </row>
    <row r="1995" spans="2:11" ht="12" customHeight="1">
      <c r="B1995" s="2" t="s">
        <v>53</v>
      </c>
      <c r="C1995" s="2" t="s">
        <v>21</v>
      </c>
      <c r="D1995" s="2" t="s">
        <v>22</v>
      </c>
      <c r="E1995" s="17"/>
      <c r="F1995" s="49" t="s">
        <v>41</v>
      </c>
      <c r="G1995" s="97" t="s">
        <v>59</v>
      </c>
      <c r="H1995" s="49" t="s">
        <v>44</v>
      </c>
      <c r="I1995" s="2" t="s">
        <v>21</v>
      </c>
      <c r="J1995" s="49" t="s">
        <v>138</v>
      </c>
      <c r="K1995" s="2" t="s">
        <v>28</v>
      </c>
    </row>
    <row r="1996" spans="2:11" ht="12" customHeight="1">
      <c r="B1996" s="166" t="s">
        <v>25</v>
      </c>
      <c r="C1996" s="18" t="s">
        <v>24</v>
      </c>
      <c r="D1996" s="167">
        <v>10</v>
      </c>
      <c r="E1996" s="19"/>
      <c r="F1996" s="168" t="s">
        <v>43</v>
      </c>
      <c r="G1996" s="169" t="s">
        <v>113</v>
      </c>
      <c r="H1996" s="88" t="str" cm="1">
        <f t="array" ref="H1996">_xlfn.IFS(AND(F1996&lt;&gt;"非削孔",F1996&lt;&gt;"無設定"),D2011,F1996="非削孔",IF(MID(D2000,1,3)="土留め","非削孔","箱抜き"),F1996="無設定","無設定")</f>
        <v>箱抜き</v>
      </c>
      <c r="I1996" s="23" t="str">
        <f>IF(F1996="無設定","","m")</f>
        <v>m</v>
      </c>
      <c r="J1996" s="170">
        <v>0.5</v>
      </c>
      <c r="K1996" s="30">
        <f>D1996*J1996</f>
        <v>5</v>
      </c>
    </row>
    <row r="1997" spans="2:11" ht="12" customHeight="1">
      <c r="B1997" s="171" t="s">
        <v>37</v>
      </c>
      <c r="C1997" s="50" t="s">
        <v>38</v>
      </c>
      <c r="D1997" s="172" t="s">
        <v>159</v>
      </c>
      <c r="E1997" s="173"/>
      <c r="F1997" s="174" t="s">
        <v>49</v>
      </c>
      <c r="G1997" s="169" t="s">
        <v>114</v>
      </c>
      <c r="H1997" s="88" cm="1">
        <f t="array" ref="H1997">_xlfn.IFS(AND(F1997&lt;&gt;"非削孔",F1997&lt;&gt;"無設定"),D2011,F1997="非削孔","箱抜き",F1997="無設定","無設定")</f>
        <v>90</v>
      </c>
      <c r="I1997" s="23" t="str">
        <f t="shared" ref="I1997:I2005" si="78">IF(F1997="無設定","","m")</f>
        <v>m</v>
      </c>
      <c r="J1997" s="170">
        <v>2.64</v>
      </c>
      <c r="K1997" s="30">
        <f>D1996*J1997</f>
        <v>26.400000000000002</v>
      </c>
    </row>
    <row r="1998" spans="2:11" ht="12" customHeight="1">
      <c r="B1998" s="52" t="s">
        <v>39</v>
      </c>
      <c r="C1998" s="91" t="s">
        <v>38</v>
      </c>
      <c r="D1998" s="175" t="s">
        <v>60</v>
      </c>
      <c r="E1998" s="140"/>
      <c r="F1998" s="174" t="s">
        <v>49</v>
      </c>
      <c r="G1998" s="169" t="s">
        <v>115</v>
      </c>
      <c r="H1998" s="88" cm="1">
        <f t="array" ref="H1998">_xlfn.IFS(AND(F1998&lt;&gt;"非削孔",F1998&lt;&gt;"無設定"),D2011,F1998="非削孔","箱抜き",F1998="無設定","無設定")</f>
        <v>90</v>
      </c>
      <c r="I1998" s="23" t="str">
        <f t="shared" si="78"/>
        <v>m</v>
      </c>
      <c r="J1998" s="170">
        <v>5.36</v>
      </c>
      <c r="K1998" s="30">
        <f>D1996*J1998</f>
        <v>53.6</v>
      </c>
    </row>
    <row r="1999" spans="2:11" ht="12" customHeight="1">
      <c r="B1999" s="147" t="s">
        <v>140</v>
      </c>
      <c r="C1999" s="91" t="s">
        <v>38</v>
      </c>
      <c r="D1999" s="176" t="s">
        <v>167</v>
      </c>
      <c r="E1999" s="141"/>
      <c r="F1999" s="174" t="s">
        <v>48</v>
      </c>
      <c r="G1999" s="169"/>
      <c r="H1999" s="88" t="str" cm="1">
        <f t="array" ref="H1999">_xlfn.IFS(AND(F1999&lt;&gt;"非削孔",F1999&lt;&gt;"無設定"),D2011,F1999="非削孔","箱抜き",F1999="無設定","無設定")</f>
        <v>無設定</v>
      </c>
      <c r="I1999" s="23" t="str">
        <f t="shared" si="78"/>
        <v/>
      </c>
      <c r="J1999" s="170">
        <v>0</v>
      </c>
      <c r="K1999" s="30">
        <f>D1996*J1999</f>
        <v>0</v>
      </c>
    </row>
    <row r="2000" spans="2:11" ht="12" customHeight="1">
      <c r="B2000" s="147" t="s">
        <v>142</v>
      </c>
      <c r="C2000" s="91" t="s">
        <v>38</v>
      </c>
      <c r="D2000" s="177" t="s">
        <v>160</v>
      </c>
      <c r="E2000" s="21"/>
      <c r="F2000" s="174" t="s">
        <v>48</v>
      </c>
      <c r="G2000" s="169"/>
      <c r="H2000" s="88" t="str" cm="1">
        <f t="array" ref="H2000">_xlfn.IFS(AND(F2000&lt;&gt;"非削孔",F2000&lt;&gt;"無設定"),D2011,F2000="非削孔","箱抜き",F2000="無設定","無設定")</f>
        <v>無設定</v>
      </c>
      <c r="I2000" s="23" t="str">
        <f t="shared" si="78"/>
        <v/>
      </c>
      <c r="J2000" s="170">
        <v>0</v>
      </c>
      <c r="K2000" s="30">
        <f>D1996*J2000</f>
        <v>0</v>
      </c>
    </row>
    <row r="2001" spans="2:11" ht="12" customHeight="1">
      <c r="B2001" s="114" t="str">
        <f>IF(MID(D2000,1,3)="土留め",D2000&amp;"の種類","")</f>
        <v/>
      </c>
      <c r="C2001" s="91" t="s">
        <v>38</v>
      </c>
      <c r="D2001" s="178" t="s">
        <v>71</v>
      </c>
      <c r="E2001" s="21"/>
      <c r="F2001" s="174" t="s">
        <v>48</v>
      </c>
      <c r="G2001" s="169"/>
      <c r="H2001" s="88" t="str" cm="1">
        <f t="array" ref="H2001">_xlfn.IFS(AND(F2001&lt;&gt;"非削孔",F2001&lt;&gt;"無設定"),D2011,F2001="非削孔","箱抜き",F2001="無設定","無設定")</f>
        <v>無設定</v>
      </c>
      <c r="I2001" s="23" t="str">
        <f t="shared" si="78"/>
        <v/>
      </c>
      <c r="J2001" s="170">
        <v>0</v>
      </c>
      <c r="K2001" s="30">
        <f>D1996*J2001</f>
        <v>0</v>
      </c>
    </row>
    <row r="2002" spans="2:11" ht="12" customHeight="1">
      <c r="B2002" s="179" t="s">
        <v>50</v>
      </c>
      <c r="C2002" s="180" t="s">
        <v>38</v>
      </c>
      <c r="D2002" s="181" t="s">
        <v>51</v>
      </c>
      <c r="E2002" s="182"/>
      <c r="F2002" s="174" t="s">
        <v>48</v>
      </c>
      <c r="G2002" s="169"/>
      <c r="H2002" s="88" t="str" cm="1">
        <f t="array" ref="H2002">_xlfn.IFS(AND(F2002&lt;&gt;"非削孔",F2002&lt;&gt;"無設定"),D2011,F2002="非削孔","箱抜き",F2002="無設定","無設定")</f>
        <v>無設定</v>
      </c>
      <c r="I2002" s="23" t="str">
        <f t="shared" si="78"/>
        <v/>
      </c>
      <c r="J2002" s="170">
        <v>0</v>
      </c>
      <c r="K2002" s="30">
        <f>D1996*J2002</f>
        <v>0</v>
      </c>
    </row>
    <row r="2003" spans="2:11" ht="12" customHeight="1">
      <c r="B2003" s="160" t="str" cm="1">
        <f t="array" ref="B2003">"頭部自由長"&amp;_xlfn.IFS(MID(D2000,1,2)="なし","",MID(D2000,1,3)="受圧体","(受圧体)",MID(D2000,1,3)="のり面","(角度台座＋受圧体)",MID(D2000,1,3)="構造物","(壁面台座)",MID(D2000,1,3)="土留め","(台座+腹起し)")&amp;"　Lfh"</f>
        <v>頭部自由長(角度台座＋受圧体)　Lfh</v>
      </c>
      <c r="C2003" s="155" t="s">
        <v>23</v>
      </c>
      <c r="D2003" s="183">
        <v>0.5</v>
      </c>
      <c r="E2003" s="21"/>
      <c r="F2003" s="174" t="s">
        <v>144</v>
      </c>
      <c r="G2003" s="169"/>
      <c r="H2003" s="88" cm="1">
        <f t="array" ref="H2003">_xlfn.IFS(AND(F2003&lt;&gt;"非削孔",F2003&lt;&gt;"無設定"),D2011,F2003="非削孔","箱抜き",F2003="無設定","無設定")</f>
        <v>90</v>
      </c>
      <c r="I2003" s="23" t="str">
        <f t="shared" si="78"/>
        <v>m</v>
      </c>
      <c r="J2003" s="170">
        <v>0</v>
      </c>
      <c r="K2003" s="30">
        <f>D1996*J2003</f>
        <v>0</v>
      </c>
    </row>
    <row r="2004" spans="2:11" ht="12" customHeight="1">
      <c r="B2004" s="22" t="s">
        <v>108</v>
      </c>
      <c r="C2004" s="23" t="s">
        <v>23</v>
      </c>
      <c r="D2004" s="184">
        <v>4</v>
      </c>
      <c r="E2004" s="21"/>
      <c r="F2004" s="174" t="s">
        <v>48</v>
      </c>
      <c r="G2004" s="169"/>
      <c r="H2004" s="88" t="str" cm="1">
        <f t="array" ref="H2004">_xlfn.IFS(AND(F2004&lt;&gt;"非削孔",F2004&lt;&gt;"無設定"),D2011,F2004="非削孔","箱抜き",F2004="無設定","無設定")</f>
        <v>無設定</v>
      </c>
      <c r="I2004" s="23" t="str">
        <f t="shared" si="78"/>
        <v/>
      </c>
      <c r="J2004" s="170">
        <v>0</v>
      </c>
      <c r="K2004" s="30">
        <f>D1996*J2004</f>
        <v>0</v>
      </c>
    </row>
    <row r="2005" spans="2:11" ht="12" customHeight="1">
      <c r="B2005" s="157" t="s">
        <v>36</v>
      </c>
      <c r="C2005" s="158" t="s">
        <v>23</v>
      </c>
      <c r="D2005" s="185">
        <v>4</v>
      </c>
      <c r="F2005" s="186" t="str" cm="1">
        <f t="array" ref="F2005">INDEX(F1996:H2004,MATCH("無設定",F1996:F2004,0)-1,MATCH(F1995,F1995:H1995,0))</f>
        <v>軟　岩</v>
      </c>
      <c r="G2005" s="100" t="str" cm="1">
        <f t="array" ref="G2005">INDEX(F1996:H2004,MATCH("無設定",F1996:F2004,0)-1,MATCH(G1995,F1995:H1995,0))&amp;"　(先端長 L2d)"</f>
        <v>風化岩 CL　(先端長 L2d)</v>
      </c>
      <c r="H2005" s="88" cm="1">
        <f t="array" ref="H2005">INDEX(F1996:H2004,MATCH("無設定",F1996:F2004,0)-1,MATCH(H1995,F1995:H1995,0))</f>
        <v>90</v>
      </c>
      <c r="I2005" s="23" t="str">
        <f t="shared" si="78"/>
        <v>m</v>
      </c>
      <c r="J2005" s="98">
        <f>D2010</f>
        <v>0.25</v>
      </c>
      <c r="K2005" s="78">
        <f>IFERROR(D1996*J2005,"")</f>
        <v>2.5</v>
      </c>
    </row>
    <row r="2006" spans="2:11" ht="12" customHeight="1">
      <c r="B2006" s="154" t="s">
        <v>145</v>
      </c>
      <c r="C2006" s="155" t="s">
        <v>23</v>
      </c>
      <c r="D2006" s="187">
        <f>IF(OR(D1996=0,D1997="　"),"──",SUM(D2003:D2004))</f>
        <v>4.5</v>
      </c>
      <c r="E2006" s="19"/>
      <c r="F2006" s="188"/>
      <c r="G2006" s="75" t="s">
        <v>124</v>
      </c>
      <c r="H2006" s="103"/>
      <c r="I2006" s="18" t="s">
        <v>23</v>
      </c>
      <c r="J2006" s="74">
        <f>SUMIFS(J1996:J2005,F1996:F2005,"&lt;&gt;非削孔",F1996:F2005,"&lt;&gt;無設定")</f>
        <v>8.25</v>
      </c>
      <c r="K2006" s="95">
        <f>SUMIFS(K1996:K2005,F1996:F2005,"&lt;&gt;非削孔",F1996:F2005,"&lt;&gt;無設定")</f>
        <v>82.5</v>
      </c>
    </row>
    <row r="2007" spans="2:11" ht="12" customHeight="1">
      <c r="B2007" s="146" t="s">
        <v>146</v>
      </c>
      <c r="C2007" s="23" t="s">
        <v>23</v>
      </c>
      <c r="D2007" s="189" cm="1">
        <f t="array" ref="D2007">IF(OR(D1996=0,D1997="　"),"──",IF(MID(D1997,4,1)="5",_xlfn.IFS(1*MID(LEFT(D1997, LEN(D1997)-1),6,2)&lt;8,1,1*MID(LEFT(D1997, LEN(D1997)-1),6,2)&lt;13,1.2),_xlfn.IFS(1*MID(LEFT(D1997, LEN(D1997)-1),6,2)&lt;6,1,1*MID(LEFT(D1997, LEN(D1997)-1),6,2)&lt;15,1.2)))</f>
        <v>1</v>
      </c>
      <c r="E2007" s="19"/>
      <c r="F2007" s="190"/>
      <c r="G2007" s="76" t="s">
        <v>47</v>
      </c>
      <c r="H2007" s="104"/>
      <c r="I2007" s="79" t="s">
        <v>46</v>
      </c>
      <c r="J2007" s="77" t="str">
        <f>IF(OR(D1996=0,D1997="　"),"",IF(SUM(D2004:D2005,D2010)=J2006,"OK","NG"))</f>
        <v>OK</v>
      </c>
      <c r="K2007" s="145" t="str">
        <f>IF(J2007&lt;&gt;"NG","──",J2006-SUM(D2004:D2005,D2010))</f>
        <v>──</v>
      </c>
    </row>
    <row r="2008" spans="2:11" ht="12" customHeight="1">
      <c r="B2008" s="22" t="s">
        <v>125</v>
      </c>
      <c r="C2008" s="23" t="s">
        <v>35</v>
      </c>
      <c r="D2008" s="84">
        <f>IF(OR(D1996=0,D1997="　"),"──",0.2)</f>
        <v>0.2</v>
      </c>
      <c r="F2008" s="191" t="s">
        <v>58</v>
      </c>
      <c r="G2008" s="248" t="s">
        <v>110</v>
      </c>
      <c r="H2008" s="249"/>
      <c r="I2008" s="249"/>
      <c r="J2008" s="249"/>
      <c r="K2008" s="250"/>
    </row>
    <row r="2009" spans="2:11" ht="12" customHeight="1">
      <c r="B2009" s="6" t="s">
        <v>147</v>
      </c>
      <c r="C2009" s="23" t="s">
        <v>23</v>
      </c>
      <c r="D2009" s="60">
        <f>IF(OR(D1996=0,D1997="　"),"──",SUM(D2005:D2008))</f>
        <v>9.6999999999999993</v>
      </c>
    </row>
    <row r="2010" spans="2:11" ht="12" customHeight="1">
      <c r="B2010" s="25" t="s">
        <v>127</v>
      </c>
      <c r="C2010" s="26" t="s">
        <v>23</v>
      </c>
      <c r="D2010" s="27">
        <f>IF(OR(D1996=0,D1997="　"),"──",0.25)</f>
        <v>0.25</v>
      </c>
      <c r="F2010" s="8"/>
      <c r="G2010" s="8"/>
      <c r="H2010" s="102"/>
    </row>
    <row r="2011" spans="2:11" ht="12" customHeight="1">
      <c r="B2011" s="95" t="s">
        <v>123</v>
      </c>
      <c r="C2011" s="18" t="s">
        <v>32</v>
      </c>
      <c r="D2011" s="192">
        <v>90</v>
      </c>
      <c r="E2011" s="193" t="str">
        <f>IF(D2011&lt;D2012,"NG：削孔径不適合","")</f>
        <v/>
      </c>
      <c r="F2011" s="8"/>
      <c r="G2011" s="8"/>
      <c r="H2011" s="102"/>
    </row>
    <row r="2012" spans="2:11" ht="12" customHeight="1">
      <c r="B2012" s="25" t="s">
        <v>122</v>
      </c>
      <c r="C2012" s="26" t="s">
        <v>32</v>
      </c>
      <c r="D2012" s="194" cm="1">
        <f t="array" ref="D2012">IF(OR(D1996=0,D1997="　"),"──",IF(D2002="なし",IF(MID(D1997,4,1)="5",_xlfn.IFS(1*MID(LEFT(D1997, LEN(D1997)-1),6,2)&lt;6,90,1*MID(LEFT(D1997, LEN(D1997)-1),6,2)&lt;9,115,1*MID(LEFT(D1997, LEN(D1997)-1),6,2)&gt;8,135),_xlfn.IFS(1*MID(LEFT(D1997, LEN(D1997)-1),6,2)&lt;4,90,1*MID(LEFT(D1997, LEN(D1997)-1),6,2)&lt;7,115,1*MID(LEFT(D1997, LEN(D1997)-1),6,2)&lt;10,135,1*MID(LEFT(D1997, LEN(D1997)-1),6,2)&lt;13,146,1*MID(LEFT(D1997, LEN(D1997)-1),6,2)&gt;12,165)),IF(MID(D1997,4,1)="5",_xlfn.IFS(1*MID(LEFT(D1997, LEN(D1997)-1),6,2)&lt;3,90,1*MID(LEFT(D1997, LEN(D1997)-1),6,2)&lt;7,115,1*MID(LEFT(D1997, LEN(D1997)-1),6,2)&lt;9,135,1*MID(LEFT(D1997, LEN(D1997)-1),6,2)&gt;8,146),_xlfn.IFS(1*MID(LEFT(D1997, LEN(D1997)-1),6,2)&lt;3,90,1*MID(LEFT(D1997, LEN(D1997)-1),6,2)&lt;4,115,1*MID(LEFT(D1997, LEN(D1997)-1),6,2)&lt;6,135,1*MID(LEFT(D1997, LEN(D1997)-1),6,2)&lt;10,146,1*MID(LEFT(D1997, LEN(D1997)-1),6,2)&lt;13,165,1*MID(LEFT(D1997, LEN(D1997)-1),6,2)&gt;12,216))))</f>
        <v>90</v>
      </c>
      <c r="E2012" s="195"/>
      <c r="F2012" s="8"/>
      <c r="G2012" s="8"/>
      <c r="H2012" s="102"/>
    </row>
    <row r="2013" spans="2:11" ht="12" customHeight="1">
      <c r="B2013" s="20"/>
      <c r="C2013" s="46"/>
      <c r="D2013" s="117"/>
      <c r="F2013" s="8"/>
      <c r="G2013" s="8"/>
      <c r="H2013" s="102"/>
    </row>
    <row r="2014" spans="2:11" ht="12" customHeight="1">
      <c r="B2014" s="15" t="str">
        <f>"■"&amp;MID(B1991,2,14)</f>
        <v>■本設：EHDアンカーHP工法</v>
      </c>
      <c r="C2014" s="3"/>
      <c r="D2014" s="1"/>
      <c r="E2014" s="1"/>
      <c r="F2014" s="8"/>
      <c r="G2014" s="8"/>
      <c r="H2014" s="102"/>
    </row>
    <row r="2015" spans="2:11" ht="12" customHeight="1">
      <c r="B2015" s="2" t="s">
        <v>17</v>
      </c>
      <c r="C2015" s="43"/>
      <c r="D2015" s="196" t="s">
        <v>148</v>
      </c>
      <c r="E2015" s="135"/>
      <c r="F2015" s="16"/>
      <c r="G2015" s="61" t="s">
        <v>42</v>
      </c>
      <c r="H2015" s="97"/>
      <c r="I2015" s="2" t="s">
        <v>21</v>
      </c>
      <c r="J2015" s="49" t="s">
        <v>149</v>
      </c>
      <c r="K2015" s="2" t="s">
        <v>28</v>
      </c>
    </row>
    <row r="2016" spans="2:11" ht="12" customHeight="1">
      <c r="B2016" s="197" t="s">
        <v>150</v>
      </c>
      <c r="C2016" s="198" t="str">
        <f>IF(OR(D1996=0,D1997="　"),"",D1997&amp;" ("&amp;MID(LEFT(D1997, LEN(D1997)-1),6,2)&amp;IF(MID(D1997,4,1)="5","φ12.7","φ15.2")&amp;")")</f>
        <v>EHD5-4H (4φ12.7)</v>
      </c>
      <c r="D2016" s="199"/>
      <c r="E2016" s="200"/>
      <c r="F2016" s="201" t="str">
        <f>"W=テンドン長×PC鋼より線本数×"&amp;IF(MID(D1997,4,1)="5","0.774","1.101")&amp;"kg/m"</f>
        <v>W=テンドン長×PC鋼より線本数×0.774kg/m</v>
      </c>
      <c r="G2016" s="202"/>
      <c r="H2016" s="203"/>
      <c r="I2016" s="204" t="s">
        <v>11</v>
      </c>
      <c r="J2016" s="205">
        <f>IF(OR(D1996=0,D1997="　"),"",MROUND(D2009*MID(LEFT(D1997, LEN(D1997)-1),6,2)*IF(MID(D1997,4,1)="5","0.774","1.101"),0.01))</f>
        <v>30.03</v>
      </c>
      <c r="K2016" s="205">
        <f>IFERROR(D1996*J2016,"")</f>
        <v>300.3</v>
      </c>
    </row>
    <row r="2017" spans="2:11" ht="12" customHeight="1">
      <c r="B2017" s="206" t="s">
        <v>151</v>
      </c>
      <c r="C2017" s="207"/>
      <c r="D2017" s="208"/>
      <c r="E2017" s="209"/>
      <c r="F2017" s="210" t="s">
        <v>33</v>
      </c>
      <c r="G2017" s="211"/>
      <c r="H2017" s="212"/>
      <c r="I2017" s="213" t="s">
        <v>12</v>
      </c>
      <c r="J2017" s="214">
        <f>IF(OR(D1996=0,D1997="　"),"",MROUND(D2009,0.1))</f>
        <v>9.7000000000000011</v>
      </c>
      <c r="K2017" s="214">
        <f>IFERROR(D1996*J2017,"")</f>
        <v>97.000000000000014</v>
      </c>
    </row>
    <row r="2018" spans="2:11" ht="12" customHeight="1">
      <c r="B2018" s="206" t="str">
        <f>"頭部キャップ"</f>
        <v>頭部キャップ</v>
      </c>
      <c r="C2018" s="207" t="str" cm="1">
        <f t="array" ref="C2018">IF(OR(D1996=0,D1997="　"),"",IF(MID(D1997,4,1)="5",_xlfn.SWITCH(1*MID(LEFT(D1997, LEN(D1997)-1),6,2),1,"S",2,"S",3,"S",4,"S",5,"M",6,"M",7,"M",8,"L",9,"L",10,"L",11,"L",12,"L"),_xlfn.SWITCH(1*MID(LEFT(D1997, LEN(D1997)-1),6,2),1,"S",2,"S",3,"M",4,"M",5,"L",6,"L",7,"L",8,"LL",9,"LL",10,"LL",11,"LL",12,"LL",13,"LL",14,"LL"))&amp;"型"&amp;D1999&amp;IF(OR(MID(D1999,1,2)="透明",MID(D1999,1,2)="5窓"),"、PC樹脂","")&amp;"、ｱﾙﾐAC4C相当"&amp;_xlfn.IFS(MID(D1998,1,3)="防食Ⅱ","",MID(D1998,5,2)="塩害","、防食：ﾀｹｺｰﾄ処理",MID(D1998,5,2)="酸性","、防食：重防食処理"))</f>
        <v>S型アルミキャッフ゜、ｱﾙﾐAC4C相当</v>
      </c>
      <c r="D2018" s="215"/>
      <c r="E2018" s="216"/>
      <c r="F2018" s="217" t="str">
        <f t="shared" ref="F2018:F2024" si="79">"n=1"</f>
        <v>n=1</v>
      </c>
      <c r="G2018" s="218"/>
      <c r="H2018" s="219"/>
      <c r="I2018" s="213" t="s">
        <v>13</v>
      </c>
      <c r="J2018" s="220" t="str">
        <f>IF(OR(D1996=0,D1997="　"),"",MID(F2018,3,2))</f>
        <v>1</v>
      </c>
      <c r="K2018" s="214">
        <f>IFERROR(D1996*J2018,"")</f>
        <v>10</v>
      </c>
    </row>
    <row r="2019" spans="2:11" ht="12" customHeight="1">
      <c r="B2019" s="206" t="s">
        <v>5</v>
      </c>
      <c r="C2019" s="207" t="str" cm="1">
        <f t="array" ref="C2019">IF(OR(D1996=0,D1997="　"),"",IF(MID(D1997,4,1)="5","G5"&amp;_xlfn.SWITCH(1*MID(LEFT(D1997, LEN(D1997)-1),6,2),1,"01",2,"02",3,"03",4,"04",5,"07",6,"07",7,"07",8,"09",9,"09",10,"12",11,"12",12,"12"),"G6"&amp;_xlfn.SWITCH(1*MID(LEFT(D1997, LEN(D1997)-1),6,2),1,"01",2,"02",3,"03",4,"04",5,"07",6,"07",7,"07",8,"09",9,"09",10,"12",11,"12",12,"12",13,"14",14,"14"))&amp;"、S45C相当"&amp;IF(MID(D1999,1,3)&lt;&gt;"アルミ","、防食：無電解Niめっき",""))</f>
        <v>G504、S45C相当</v>
      </c>
      <c r="D2019" s="208"/>
      <c r="E2019" s="209"/>
      <c r="F2019" s="217" t="str">
        <f t="shared" si="79"/>
        <v>n=1</v>
      </c>
      <c r="G2019" s="218"/>
      <c r="H2019" s="219"/>
      <c r="I2019" s="213" t="s">
        <v>13</v>
      </c>
      <c r="J2019" s="220" t="str">
        <f>IF(OR(D1996=0,D1997="　"),"",MID(F2019,3,2))</f>
        <v>1</v>
      </c>
      <c r="K2019" s="214">
        <f>IFERROR(D1996*J2019,"")</f>
        <v>10</v>
      </c>
    </row>
    <row r="2020" spans="2:11" ht="12" customHeight="1">
      <c r="B2020" s="206" t="s">
        <v>152</v>
      </c>
      <c r="C2020" s="207" t="str" cm="1">
        <f t="array" ref="C2020">IF(OR(D1996=0,D1997="　"),"",IF(MID(D1997,4,1)="5","G5"&amp;_xlfn.SWITCH(1*MID(LEFT(D1997, LEN(D1997)-1),6,2),1,"01",2,"02",3,"03",4,"04",5,"07",6,"07",7,"07",8,"09",9,"09",10,"12",11,"12",12,"12"),"G6"&amp;_xlfn.SWITCH(1*MID(LEFT(D1997, LEN(D1997)-1),6,2),1,"01",2,"02",3,"03",4,"04",5,"07",6,"07",7,"07",8,"09",9,"09",10,"12",11,"12",12,"12",13,"14",14,"14"))&amp;"、S45C相当"&amp;IF(MID(D1999,1,3)&lt;&gt;"アルミ","、防食：無電解Niめっき",""))</f>
        <v>G504、S45C相当</v>
      </c>
      <c r="D2020" s="208"/>
      <c r="E2020" s="209"/>
      <c r="F2020" s="217" t="str">
        <f t="shared" si="79"/>
        <v>n=1</v>
      </c>
      <c r="G2020" s="218"/>
      <c r="H2020" s="219"/>
      <c r="I2020" s="213" t="s">
        <v>13</v>
      </c>
      <c r="J2020" s="220" t="str">
        <f>IF(OR(D1996=0,D1997="　"),"",MID(F2020,3,2))</f>
        <v>1</v>
      </c>
      <c r="K2020" s="214">
        <f>IFERROR(D1996*J2020,"")</f>
        <v>10</v>
      </c>
    </row>
    <row r="2021" spans="2:11" ht="12" customHeight="1">
      <c r="B2021" s="206" t="s">
        <v>7</v>
      </c>
      <c r="C2021" s="207" t="str">
        <f>IF(OR(D1996=0,D1997="　"),"",IF(1*MID(D1997,4,1)=5,"ECF12.7","ECF15.2")&amp;"、SCM415相当"&amp;IF(MID(D1999,1,3)&lt;&gt;"アルミ","、防食：無電解Niめっき",""))</f>
        <v>ECF12.7、SCM415相当</v>
      </c>
      <c r="D2021" s="208"/>
      <c r="E2021" s="209"/>
      <c r="F2021" s="217" t="str">
        <f t="shared" si="79"/>
        <v>n=1</v>
      </c>
      <c r="G2021" s="218"/>
      <c r="H2021" s="219"/>
      <c r="I2021" s="213" t="s">
        <v>27</v>
      </c>
      <c r="J2021" s="220" t="str">
        <f>IF(OR(D1996=0,D1997="　"),"",MID(F2021,3,2))</f>
        <v>1</v>
      </c>
      <c r="K2021" s="214">
        <f>IFERROR(D1996*J2021,"")</f>
        <v>10</v>
      </c>
    </row>
    <row r="2022" spans="2:11" ht="12" customHeight="1">
      <c r="B2022" s="206" t="s">
        <v>153</v>
      </c>
      <c r="C2022" s="207" t="str" cm="1">
        <f t="array" ref="C2022">IF(OR(D1996=0,D1997="　"),"",IF(MID(D1997,4,1)="5","G5"&amp;_xlfn.SWITCH(1*MID(LEFT(D1997, LEN(D1997)-1),6,2),1,"01",2,"04",3,"03",4,"04",5,"07",6,"07",7,"07",8,"12",9,"12",10,"12",11,"12",12,"12"),"G6"&amp;_xlfn.SWITCH(1*MID(LEFT(D1997, LEN(D1997)-1),6,2),1,"01",2,"02",3,"03",4,"04",5,"07",6,"07",7,"07",8,"12",9,"12",10,"12",11,"12",12,"12",13,"14",14,"14"))&amp;"、SS400相当、防食："&amp;_xlfn.IFS(MID(D1998,1,3)="防食Ⅱ","HDZT77めっき",MID(D1998,5,2)="塩害","ｱﾙﾐﾅｲｽﾞ処理",MID(D1998,5,2)="酸性","重防食処理"))</f>
        <v>G504、SS400相当、防食：HDZT77めっき</v>
      </c>
      <c r="D2022" s="208"/>
      <c r="E2022" s="209"/>
      <c r="F2022" s="217" t="str">
        <f t="shared" si="79"/>
        <v>n=1</v>
      </c>
      <c r="G2022" s="218"/>
      <c r="H2022" s="219"/>
      <c r="I2022" s="213" t="s">
        <v>16</v>
      </c>
      <c r="J2022" s="220" t="str">
        <f>IF(OR(D1996=0,D1997="　"),"",MID(F2022,3,2))</f>
        <v>1</v>
      </c>
      <c r="K2022" s="214">
        <f>IFERROR(D1996*J2022,"")</f>
        <v>10</v>
      </c>
    </row>
    <row r="2023" spans="2:11" ht="12" customHeight="1">
      <c r="B2023" s="206" t="str">
        <f>IF(MID(D2000,1,3)="のり面","管付","")&amp;"支圧板"</f>
        <v>管付支圧板</v>
      </c>
      <c r="C2023" s="221" t="str" cm="1">
        <f t="array" ref="C2023">IF(OR(D1996=0,D1997="　"),"","PL"&amp;IF(MID(D2000,1,3)="のり面","P","")&amp;IF(MID(D1997,4,1)="5","5-"&amp;_xlfn.SWITCH(1*MID(LEFT(D1997, LEN(D1997)-1),6,2),1,"1",2,"2",3,"3",4,"4",5,"5",6,"6",7,"7",8,"9",9,"9",10,"10",11,"11",12,"12"),"6-"&amp;_xlfn.SWITCH(1*MID(LEFT(D1997, LEN(D1997)-1),6,2),1,"1",2,"2",3,"3",4,"4",5,"6",6,"6",7,"7",8,"8",9,"9",10,"10",11,"11",12,"12",13,"14",14,"14"))&amp;"、SS400相当、防食："&amp;_xlfn.IFS(MID(D1998,1,3)="防食Ⅱ","HDZT77めっき",MID(D1998,5,2)="塩害","ｱﾙﾐﾅｲｽﾞ処理",MID(D1998,5,2)="酸性","重防食処理"))</f>
        <v>PLP5-4、SS400相当、防食：HDZT77めっき</v>
      </c>
      <c r="D2023" s="208"/>
      <c r="E2023" s="209"/>
      <c r="F2023" s="217" t="str">
        <f t="shared" si="79"/>
        <v>n=1</v>
      </c>
      <c r="G2023" s="218"/>
      <c r="H2023" s="219"/>
      <c r="I2023" s="213" t="s">
        <v>16</v>
      </c>
      <c r="J2023" s="220" t="str">
        <f>IF(OR(D1996=0,D1997="　"),"",MID(F2023,3,2))</f>
        <v>1</v>
      </c>
      <c r="K2023" s="214">
        <f>IFERROR(D1996*J2023,"")</f>
        <v>10</v>
      </c>
    </row>
    <row r="2024" spans="2:11" ht="12" customHeight="1">
      <c r="B2024" s="206" t="s">
        <v>154</v>
      </c>
      <c r="C2024" s="207" t="str">
        <f>IF(OR(D1996=0,D1997="　"),"","G"&amp;MID(LEFT(D1997, LEN(D1997)-1),4,4)&amp;"、NBR45相当")</f>
        <v>G5-4、NBR45相当</v>
      </c>
      <c r="D2024" s="208"/>
      <c r="E2024" s="209"/>
      <c r="F2024" s="217" t="str">
        <f t="shared" si="79"/>
        <v>n=1</v>
      </c>
      <c r="G2024" s="218"/>
      <c r="H2024" s="219"/>
      <c r="I2024" s="213" t="s">
        <v>13</v>
      </c>
      <c r="J2024" s="220" t="str">
        <f>IF(OR(D1996=0,D1997="　"),"",MID(F2024,3,2))</f>
        <v>1</v>
      </c>
      <c r="K2024" s="214">
        <f>IFERROR(D1996*J2024,"")</f>
        <v>10</v>
      </c>
    </row>
    <row r="2025" spans="2:11" ht="12" customHeight="1">
      <c r="B2025" s="206" t="str" cm="1">
        <f t="array" ref="B2025">_xlfn.IFS(OR(D1996=0,D1997="　"),"",MID(D1999,1,3)="アルミ","頭部防錆油",MID(D1999,1,3)&lt;&gt;"アルミ","余長キャップ")</f>
        <v>頭部防錆油</v>
      </c>
      <c r="C2025" s="221" t="str" cm="1">
        <f t="array" ref="C2025">_xlfn.IFS(OR(D1996=0,D1997="　"),"",MID(D1999,1,3)="アルミ","PCコートC",MID(D1999,1,3)&lt;&gt;"アルミ","TC"&amp;MID(D1997,4,1)&amp;"、高密度ポチエチレン")</f>
        <v>PCコートC</v>
      </c>
      <c r="D2025" s="208"/>
      <c r="E2025" s="209"/>
      <c r="F2025" s="217" t="str" cm="1">
        <f t="array" ref="F2025">_xlfn.IFS(OR(D1996=0,D1997="　"),"",MID(D1999,1,3)="アルミ","W="&amp;IF(MID(D1997,4,1)="5",_xlfn.SWITCH(1*MID(LEFT(D1997, LEN(D1997)-1),6,2),1,1.9,2,1.3,3,1.3,4,1.3,5,1.6,6,1.6,7,1.6,8,3.1,9,3.1,10,3.1,11,3.1,12,3.1),"G6"&amp;_xlfn.SWITCH(1*MID(LEFT(D1997, LEN(D1997)-1),6,2),1,1.8,2,1.3,3,1.8,4,1.8,5,3.3,6,3.3,7,3.3,8,9.9,9,9.9,10,9.9,11,9.9,12,9.9,13,9.9,14,9.9)),MID(D1999,1,3)&lt;&gt;"アルミ","n=1")</f>
        <v>W=1.3</v>
      </c>
      <c r="G2025" s="218"/>
      <c r="H2025" s="219"/>
      <c r="I2025" s="213" t="str" cm="1">
        <f t="array" ref="I2025">_xlfn.IFS(OR(D1996=0,D1997="　"),"",MID(D1999,1,3)="アルミ","kg",MID(D1999,1,3)&lt;&gt;"アルミ","式")</f>
        <v>kg</v>
      </c>
      <c r="J2025" s="220" t="str">
        <f>IF(OR(D1996=0,D1997="　"),"",MID(F2025,3,4))</f>
        <v>1.3</v>
      </c>
      <c r="K2025" s="214">
        <f>IFERROR(D1996*J2025,"")</f>
        <v>13</v>
      </c>
    </row>
    <row r="2026" spans="2:11" ht="12" customHeight="1">
      <c r="B2026" s="206" t="s">
        <v>9</v>
      </c>
      <c r="C2026" s="207" t="str" cm="1">
        <f t="array" ref="C2026">IF(OR(D1996=0,D1997="　"),"",IF(MID(D1997,4,1)="5","PS5-"&amp;_xlfn.SWITCH(1*MID(LEFT(D1997, LEN(D1997)-1),6,2),1,"7",2,"2",3,"3",4,"4",5,"7",6,"7",7,"7",8,"12",9,"12",10,"12",11,"12",12,"12"),"PS6-"&amp;_xlfn.SWITCH(1*MID(LEFT(D1997, LEN(D1997)-1),6,2),1,"7",2,"2",3,"3",4,"4",5,"7",6,"7",7,"7",8,"12",9,"12",10,"12",11,"12",12,"12",13,"14",14,"14"))&amp;"、高密度ポリエチレン")</f>
        <v>PS5-4、高密度ポリエチレン</v>
      </c>
      <c r="D2026" s="208"/>
      <c r="E2026" s="209"/>
      <c r="F2026" s="217" t="str">
        <f>"n=2"</f>
        <v>n=2</v>
      </c>
      <c r="G2026" s="218"/>
      <c r="H2026" s="219"/>
      <c r="I2026" s="213" t="s">
        <v>13</v>
      </c>
      <c r="J2026" s="220" t="str">
        <f>IF(OR(D1996=0,D1997="　"),"",MID(F2026,3,2))</f>
        <v>2</v>
      </c>
      <c r="K2026" s="214">
        <f>IFERROR(D1996*J2026,"")</f>
        <v>20</v>
      </c>
    </row>
    <row r="2027" spans="2:11" ht="12" customHeight="1">
      <c r="B2027" s="206" t="s">
        <v>2</v>
      </c>
      <c r="C2027" s="207" t="str" cm="1">
        <f t="array" ref="C2027">IF(OR(D1996=0,D1997="　"),"",IF(MID(D1997,4,1)="5","S5-"&amp;_xlfn.IFS(1*MID(LEFT(D1997, LEN(D1997)-1),6,2)&lt;6,"5",1*MID(LEFT(D1997, LEN(D1997)-1),6,2)&lt;9,"8",1*MID(LEFT(D1997, LEN(D1997)-1),6,2)&gt;8,"12"),"S6-"&amp;_xlfn.IFS(1*MID(LEFT(D1997, LEN(D1997)-1),6,2)&lt;4,"3",1*MID(LEFT(D1997, LEN(D1997)-1),6,2)&lt;7,"6",1*MID(LEFT(D1997, LEN(D1997)-1),6,2)&lt;10,"9",1*MID(LEFT(D1997, LEN(D1997)-1),6,2)&lt;13,"12",1*MID(LEFT(D1997, LEN(D1997)-1),6,2)&gt;12,"14"))&amp;"、ポリプロピレン")</f>
        <v>S5-5、ポリプロピレン</v>
      </c>
      <c r="D2027" s="208"/>
      <c r="E2027" s="209"/>
      <c r="F2027" s="222" t="s">
        <v>155</v>
      </c>
      <c r="G2027" s="211"/>
      <c r="H2027" s="212"/>
      <c r="I2027" s="213" t="s">
        <v>13</v>
      </c>
      <c r="J2027" s="206">
        <f>IF(OR(D1996=0,D1997="　"),"",MROUND((D2005-0.4)/1,1))</f>
        <v>4</v>
      </c>
      <c r="K2027" s="214">
        <f>IFERROR(D1996*J2027,"")</f>
        <v>40</v>
      </c>
    </row>
    <row r="2028" spans="2:11" ht="12" customHeight="1">
      <c r="B2028" s="206" t="s">
        <v>1</v>
      </c>
      <c r="C2028" s="207" t="str" cm="1">
        <f t="array" ref="C2028">IF(OR(D1996=0,D1997="　"),"",IF(MID(D1997,4,1)="5","PC5-"&amp;_xlfn.IFS(1*MID(LEFT(D1997, LEN(D1997)-1),6,2)&lt;5,"4",1*MID(LEFT(D1997, LEN(D1997)-1),6,2)&lt;8,"7",1*MID(LEFT(D1997, LEN(D1997)-1),6,2)&lt;10,"9",1*MID(LEFT(D1997, LEN(D1997)-1),6,2)&gt;9,"12"),"PC6-"&amp;_xlfn.IFS(1*MID(LEFT(D1997, LEN(D1997)-1),6,2)&lt;4,"3",1*MID(LEFT(D1997, LEN(D1997)-1),6,2)&lt;8,"7",1*MID(LEFT(D1997, LEN(D1997)-1),6,2)&lt;13,"12",1*MID(LEFT(D1997, LEN(D1997)-1),6,2)&gt;12,"14"))&amp;"、ポリプロピレン")</f>
        <v>PC5-4、ポリプロピレン</v>
      </c>
      <c r="D2028" s="208"/>
      <c r="E2028" s="209"/>
      <c r="F2028" s="217" t="str">
        <f>"n=1"</f>
        <v>n=1</v>
      </c>
      <c r="G2028" s="218"/>
      <c r="H2028" s="219"/>
      <c r="I2028" s="213" t="s">
        <v>13</v>
      </c>
      <c r="J2028" s="220" t="str">
        <f>IF(OR(D1996=0,D1997="　"),"",MID(F2028,3,2))</f>
        <v>1</v>
      </c>
      <c r="K2028" s="214">
        <f>IFERROR(D1996*J2028,"")</f>
        <v>10</v>
      </c>
    </row>
    <row r="2029" spans="2:11" ht="12" customHeight="1">
      <c r="B2029" s="206" t="s">
        <v>3</v>
      </c>
      <c r="C2029" s="207" t="str">
        <f>IF(OR(D1996=0,D1997="　"),"","66ナイロン")</f>
        <v>66ナイロン</v>
      </c>
      <c r="D2029" s="208"/>
      <c r="E2029" s="209"/>
      <c r="F2029" s="222" t="s">
        <v>156</v>
      </c>
      <c r="G2029" s="211"/>
      <c r="H2029" s="212"/>
      <c r="I2029" s="213" t="s">
        <v>14</v>
      </c>
      <c r="J2029" s="206">
        <f>IF(OR(D1996=0,D1997="　"),"",2*J2027)</f>
        <v>8</v>
      </c>
      <c r="K2029" s="214">
        <f>IFERROR(D1996*J2029,"")</f>
        <v>80</v>
      </c>
    </row>
    <row r="2030" spans="2:11" ht="12" customHeight="1">
      <c r="B2030" s="206" t="s">
        <v>4</v>
      </c>
      <c r="C2030" s="207" t="str">
        <f>IF(OR(D1996=0,D1997="　"),"","フィラメントテープ")</f>
        <v>フィラメントテープ</v>
      </c>
      <c r="D2030" s="208"/>
      <c r="E2030" s="209"/>
      <c r="F2030" s="222" t="str">
        <f>IF(OR(D1996=0,D1997="　"),"","L=((自由長+緊張部長)÷@1.0m)×テープ係数"&amp;IF(MID(D1997,4,1)="5",_xlfn.IFS(1*MID(LEFT(D1997, LEN(D1997)-1),6,2)&lt;4,"0.8",1*MID(LEFT(D1997, LEN(D1997)-1),6,2)&lt;7,"1.0",1*MID(LEFT(D1997, LEN(D1997)-1),6,2)&lt;10,"1.2",1*MID(LEFT(D1997, LEN(D1997)-1),6,2)&lt;13,"1.4"),_xlfn.IFS(1*MID(LEFT(D1997, LEN(D1997)-1),6,2)&lt;4,"1.0",1*MID(LEFT(D1997, LEN(D1997)-1),6,2)&lt;7,"1.2",1*MID(LEFT(D1997, LEN(D1997)-1),6,2)&lt;10,"1.4",1*MID(LEFT(D1997, LEN(D1997)-1),6,2)&lt;15,"1.8")))</f>
        <v>L=((自由長+緊張部長)÷@1.0m)×テープ係数1.0</v>
      </c>
      <c r="G2030" s="211"/>
      <c r="H2030" s="212"/>
      <c r="I2030" s="213" t="s">
        <v>12</v>
      </c>
      <c r="J2030" s="223">
        <f>IF(OR(D1996=0,D1997="　"),"",MROUND((SUM(D2006,D2007))/1*RIGHT(F2030, 3),0.1))</f>
        <v>5.5</v>
      </c>
      <c r="K2030" s="214">
        <f>IFERROR(D1996*J2030,"")</f>
        <v>55</v>
      </c>
    </row>
    <row r="2031" spans="2:11" ht="12" customHeight="1">
      <c r="B2031" s="206" t="s">
        <v>0</v>
      </c>
      <c r="C2031" s="207" t="str">
        <f>IF(OR(D1996=0,D1997="　"),"","16/20、高密度ポリエチレン")</f>
        <v>16/20、高密度ポリエチレン</v>
      </c>
      <c r="D2031" s="208"/>
      <c r="E2031" s="209"/>
      <c r="F2031" s="210" t="s">
        <v>33</v>
      </c>
      <c r="G2031" s="211"/>
      <c r="H2031" s="212"/>
      <c r="I2031" s="213" t="s">
        <v>12</v>
      </c>
      <c r="J2031" s="214">
        <f>IF(OR(D1996=0,D1997="　"),"",MROUND(D2009,0.1))</f>
        <v>9.7000000000000011</v>
      </c>
      <c r="K2031" s="214">
        <f>IFERROR(D1996*J2031,"")</f>
        <v>97.000000000000014</v>
      </c>
    </row>
    <row r="2032" spans="2:11" ht="12" customHeight="1">
      <c r="B2032" s="206" t="str" cm="1">
        <f t="array" ref="B2032">_xlfn.IFS(OR(D1996=0,D1997="　",MID(D2000,1,2)="なし",MID(D2000,1,3)="受圧体"),"",MID(D2000,1,3)="のり面","のり面角度台座",MID(D2000,1,3)="構造物","構造物壁面台座",MID(D2000,1,3)="土留め","土留め台座")</f>
        <v>のり面角度台座</v>
      </c>
      <c r="C2032" s="210" t="str" cm="1">
        <f t="array" ref="C2032">IF(OR(D1996=0,D1997="　",MID(D2000,1,2)="なし",MID(D2000,1,3)="受圧体"),"",_xlfn.IFS(MID(D2000,1,3)="のり面",IF(1*MID(D1997,4,1)=5,_xlfn.IFS(1*MID(LEFT(D1997, LEN(D1997)-1),6,2)&lt;5,"ST140",1*MID(LEFT(D1997, LEN(D1997)-1),6,2)&lt;8,"ST170",1*MID(LEFT(D1997, LEN(D1997)-1),6,2)&lt;13,"ST220"),_xlfn.IFS(1*MID(LEFT(D1997, LEN(D1997)-1),6,2)&lt;4,"ST140",1*MID(LEFT(D1997, LEN(D1997)-1),6,2)&lt;5,"ST170",1*MID(LEFT(D1997, LEN(D1997)-1),6,2)&lt;8,"ST220",1*MID(LEFT(D1997, LEN(D1997)-1),6,2)&lt;15,"非該当"))&amp;"、FCD450相当、防食："&amp;_xlfn.IFS(MID(D1998,1,3)="防食Ⅱ","HDZT77めっき",MID(D1998,5,2)="塩害","ｱﾙﾐﾅｲｽﾞ処理",MID(D1998,5,2)="酸性","重防食処理"),OR(MID(D2000,1,3)="構造物",MID(D2000,1,3)="土留め"),D1997&amp;"用"&amp;IF(OR(MID(D2000,1,3)="構造物",D2001="　"),"",D2001)&amp;"、防食："&amp;_xlfn.IFS(MID(D1998,1,3)="防食Ⅱ","HDZT77めっき",MID(D1998,5,2)="塩害","ｱﾙﾐﾅｲｽﾞ処理",MID(D1998,5,2)="酸性","重防食処理")))</f>
        <v>ST140、FCD450相当、防食：HDZT77めっき</v>
      </c>
      <c r="D2032" s="208"/>
      <c r="E2032" s="209"/>
      <c r="F2032" s="217" t="str">
        <f>IF(OR(D2000="なし",D2000="受圧体のみ"),"","n=1")</f>
        <v>n=1</v>
      </c>
      <c r="G2032" s="218"/>
      <c r="H2032" s="219"/>
      <c r="I2032" s="213" t="str">
        <f>IF(OR(D1996=0,D1997="　",B2032=""),"","台")</f>
        <v>台</v>
      </c>
      <c r="J2032" s="220" t="str">
        <f>IF(OR(D1996=0,D1997="　"),"",MID(F2032,3,2))</f>
        <v>1</v>
      </c>
      <c r="K2032" s="214">
        <f>IFERROR(D1996*J2032,"")</f>
        <v>10</v>
      </c>
    </row>
    <row r="2033" spans="2:11" ht="12" customHeight="1">
      <c r="B2033" s="206" t="str">
        <f>IF(OR(D1996=0,D1997="　",MID(D2000,1,3)&lt;&gt;"のり面"),"","補剛板")</f>
        <v>補剛板</v>
      </c>
      <c r="C2033" s="210" t="str" cm="1">
        <f t="array" ref="C2033">IF(OR(D1996=0,D1997="　",MID(D2000,1,3)&lt;&gt;"のり面"),"",IF(MID(D1997,4,1)="5","□"&amp;_xlfn.SWITCH(1*MID(LEFT(D1997, LEN(D1997)-1),6,2),1,"210φ131t12",2,"210φ131t12",3,"240φ131t12",4,"270φ131t12",5,"280φ143t12",6,"310φ143t16",7,"350φ143t19",8,"350φ180t19",9,"350φ180t19",10,"350φ180t19",11,"350φ180t22",12,"350φ180t22"),"□"&amp;_xlfn.SWITCH(1*MID(LEFT(D1997, LEN(D1997)-1),6,2),1,"210,φ131,t12",2,"240,φ131,t12",3,"270,φ131,t16",4,"300,φ143,t16",5,"350,φ180,t16",6,"350,φ180,t16",7,"350,φ180,t19",8,"400,φ──,t12",9,"400,φ──,t12",10,"400,φ──,t12",11,"400,φ──,t12",12,"400,φ──,t12",13,"400,φ──,t12",14,"400,φ──,t12"))&amp;"、SS400相当、防食："&amp;_xlfn.IFS(MID(D1998,1,3)="防食Ⅱ","HDZT77めっき",MID(D1998,5,2)="塩害","ｱﾙﾐﾅｲｽﾞ処理",MID(D1998,5,2)="酸性","重防食処理"))</f>
        <v>□270φ131t12、SS400相当、防食：HDZT77めっき</v>
      </c>
      <c r="D2033" s="208"/>
      <c r="E2033" s="209"/>
      <c r="F2033" s="217" t="str">
        <f>IF(OR(D1996=0,D1997="　",MID(D2000,1,3)&lt;&gt;"のり面"),"","n=1")</f>
        <v>n=1</v>
      </c>
      <c r="G2033" s="218"/>
      <c r="H2033" s="219"/>
      <c r="I2033" s="213" t="str">
        <f>IF(OR(D1996=0,D1997="　",B2033="",MID(D2000,1,3)&lt;&gt;"のり面"),"","枚")</f>
        <v>枚</v>
      </c>
      <c r="J2033" s="220" t="str">
        <f>IF(OR(D1996=0,D1997="　"),"",MID(F2033,3,2))</f>
        <v>1</v>
      </c>
      <c r="K2033" s="214">
        <f>IFERROR(D1996*J2033,"")</f>
        <v>10</v>
      </c>
    </row>
    <row r="2034" spans="2:11" ht="12" customHeight="1">
      <c r="B2034" s="206" t="str" cm="1">
        <f t="array" ref="B2034">_xlfn.IFS(OR(D1996=0,D1997="　"),"",MID(D1999,1,3)="アルミ","",MID(D1999,1,3)&lt;&gt;"アルミ","テンドン補修用塗料")</f>
        <v/>
      </c>
      <c r="C2034" s="210" t="str" cm="1">
        <f t="array" ref="C2034">_xlfn.IFS(OR(D1996=0,D1997="　"),"",MID(D1999,1,3)="アルミ","",MID(D1999,1,3)&lt;&gt;"アルミ","エポキシ樹脂")</f>
        <v/>
      </c>
      <c r="D2034" s="208"/>
      <c r="E2034" s="209"/>
      <c r="F2034" s="217" t="str" cm="1">
        <f t="array" ref="F2034">_xlfn.IFS(OR(D1996=0,D1997="　"),"",MID(D1999,1,3)="アルミ","",MID(D1999,1,3)&lt;&gt;"アルミ","W=PC鋼より線本数×"&amp;IF(MID(D1997,4,1)="5","0.28","0.40"))</f>
        <v/>
      </c>
      <c r="G2034" s="218"/>
      <c r="H2034" s="219"/>
      <c r="I2034" s="213" t="str" cm="1">
        <f t="array" ref="I2034">_xlfn.IFS(OR(D1996=0,D1997="　"),"",MID(D1999,1,3)="アルミ","",MID(D1999,1,3)&lt;&gt;"アルミ","g")</f>
        <v/>
      </c>
      <c r="J2034" s="224" t="str" cm="1">
        <f t="array" ref="J2034">_xlfn.IFS(OR(D1996=0,D1997="　"),"",MID(D1999,1,3)="アルミ","",MID(D1999,1,3)&lt;&gt;"アルミ",MID(LEFT(D1997, LEN(D1997)-1),6,2)*IF(MID(D1997,4,1)="5",0.28,0.4))</f>
        <v/>
      </c>
      <c r="K2034" s="214" t="str">
        <f>IFERROR(D1996*J2034,"")</f>
        <v/>
      </c>
    </row>
    <row r="2035" spans="2:11" ht="12" customHeight="1">
      <c r="B2035" s="206" t="str" cm="1">
        <f t="array" ref="B2035">_xlfn.IFS(OR(D1996=0,D1997="　"),"",MID(D1999,1,3)="アルミ","",MID(D1999,1,3)&lt;&gt;"アルミ","長期防錆スプレー")</f>
        <v/>
      </c>
      <c r="C2035" s="210" t="str" cm="1">
        <f t="array" ref="C2035">_xlfn.IFS(OR(D1996=0,D1997="　"),"",MID(D1999,1,3)="アルミ","",MID(D1999,1,3)&lt;&gt;"アルミ","防錆オイル")</f>
        <v/>
      </c>
      <c r="D2035" s="208"/>
      <c r="E2035" s="209"/>
      <c r="F2035" s="217" t="str" cm="1">
        <f t="array" ref="F2035">_xlfn.IFS(OR(D1996=0,D1997="　"),"",MID(D1999,1,3)="アルミ","",MID(D1999,1,3)&lt;&gt;"アルミ","n=0.01×(PC鋼より線本数+"&amp;IF(MID(D1997,4,1)="5","6","12")&amp;")")</f>
        <v/>
      </c>
      <c r="G2035" s="218"/>
      <c r="H2035" s="219"/>
      <c r="I2035" s="213" t="str" cm="1">
        <f t="array" ref="I2035">_xlfn.IFS(OR(D1996=0,D1997="　"),"",MID(D1999,1,3)="アルミ","",MID(D1999,1,3)&lt;&gt;"アルミ","缶")</f>
        <v/>
      </c>
      <c r="J2035" s="224" t="str" cm="1">
        <f t="array" ref="J2035">_xlfn.IFS(OR(D1996=0,D1997="　"),"",MID(D1999,1,3)="アルミ","",MID(D1999,1,3)&lt;&gt;"アルミ",0.01*(MID(LEFT(D1997, LEN(D1997)-1),6,2)+IF(MID(D1997,4,1)="5",6,12)))</f>
        <v/>
      </c>
      <c r="K2035" s="214" t="str">
        <f>IFERROR(D1996*J2035,"")</f>
        <v/>
      </c>
    </row>
    <row r="2036" spans="2:11" ht="12" customHeight="1">
      <c r="B2036" s="206" t="str">
        <f>IF(OR(D1996=0,D1997="　",D2002="なし"),"","フリーパッカー注入ホース")</f>
        <v/>
      </c>
      <c r="C2036" s="207" t="str">
        <f>IF(OR(D1996=0,D1997="　",B2036=""),"","16/20、高密度ポリエチレン")</f>
        <v/>
      </c>
      <c r="D2036" s="208"/>
      <c r="E2036" s="209"/>
      <c r="F2036" s="210" t="str">
        <f>IF(B2036="","","L=自由長+緊張部長")</f>
        <v/>
      </c>
      <c r="G2036" s="211"/>
      <c r="H2036" s="212"/>
      <c r="I2036" s="213" t="str">
        <f>IF(OR(D1996=0,D1997="　",B2036=""),"","m")</f>
        <v/>
      </c>
      <c r="J2036" s="214" t="str">
        <f>IF(OR(D1996=0,D1997="　"),"",IF(B2036="","",MROUND(D2006+D2007,0.1)))</f>
        <v/>
      </c>
      <c r="K2036" s="214" t="str">
        <f>IFERROR(D1996*J2036,"")</f>
        <v/>
      </c>
    </row>
    <row r="2037" spans="2:11" ht="12" customHeight="1">
      <c r="B2037" s="225" t="str">
        <f>IF(OR(D1996=0,D1997="　",D2002="なし"),"","フリーパッカー")</f>
        <v/>
      </c>
      <c r="C2037" s="217" t="str" cm="1">
        <f t="array" ref="C2037">IF(OR(D1996=0,D1997="　",B2036=""),"",_xlfn.SWITCH(D2011,90,"PA-170",115,"PA-200",135,"PA-240",146,"PA-240",165,"PA-350")&amp;"、織布")</f>
        <v/>
      </c>
      <c r="D2037" s="208"/>
      <c r="E2037" s="209"/>
      <c r="F2037" s="226" t="str">
        <f>IF(B2037="","","L=自由長+0.5m")</f>
        <v/>
      </c>
      <c r="G2037" s="227"/>
      <c r="H2037" s="228"/>
      <c r="I2037" s="213" t="str">
        <f>IF(OR(D1997=0,D1998="　",B2037=""),"","m")</f>
        <v/>
      </c>
      <c r="J2037" s="214" t="str">
        <f>IF(OR(D1996=0,D1997="　"),"",IF(B2037="","",MROUND(D2006+0.5,0.1)))</f>
        <v/>
      </c>
      <c r="K2037" s="214" t="str">
        <f>IFERROR(D1996*J2037,"")</f>
        <v/>
      </c>
    </row>
    <row r="2038" spans="2:11" ht="12" customHeight="1">
      <c r="B2038" s="206" t="str">
        <f>IF(OR(D1996=0,D1997="　",D2002="なし"),"","パッカー取付加工")</f>
        <v/>
      </c>
      <c r="C2038" s="207"/>
      <c r="D2038" s="208"/>
      <c r="E2038" s="209"/>
      <c r="F2038" s="217" t="str">
        <f>IF(B2038="","","n=1")</f>
        <v/>
      </c>
      <c r="G2038" s="218"/>
      <c r="H2038" s="219"/>
      <c r="I2038" s="213" t="str">
        <f>IF(OR(D1998=0,D1999="　",B2038=""),"","式")</f>
        <v/>
      </c>
      <c r="J2038" s="220" t="str">
        <f>IF(OR(D1996=0,D1997="　"),"",MID(F2038,3,2))</f>
        <v/>
      </c>
      <c r="K2038" s="206" t="str">
        <f>IFERROR(D1996*J2038,"")</f>
        <v/>
      </c>
    </row>
    <row r="2039" spans="2:11" ht="12" customHeight="1">
      <c r="B2039" s="229"/>
      <c r="C2039" s="230"/>
      <c r="D2039" s="231"/>
      <c r="E2039" s="232"/>
      <c r="F2039" s="233"/>
      <c r="G2039" s="234"/>
      <c r="H2039" s="235"/>
      <c r="I2039" s="236"/>
      <c r="J2039" s="237"/>
      <c r="K2039" s="229"/>
    </row>
    <row r="2040" spans="2:11" ht="12" customHeight="1">
      <c r="B2040" s="238" t="s">
        <v>30</v>
      </c>
      <c r="C2040" s="239" t="s">
        <v>31</v>
      </c>
      <c r="D2040" s="240"/>
      <c r="E2040" s="241"/>
      <c r="F2040" s="242" t="s">
        <v>157</v>
      </c>
      <c r="G2040" s="243"/>
      <c r="H2040" s="244"/>
      <c r="I2040" s="245" t="s">
        <v>55</v>
      </c>
      <c r="J2040" s="246">
        <f>IFERROR(MROUND(0.25*PI()*(0.001*D2011)^2*(D2004+D2005+D2010)*(1+2.2),0.01),"")</f>
        <v>0.17</v>
      </c>
      <c r="K2040" s="246">
        <f>IFERROR(D1996*J2040,"")</f>
        <v>1.7000000000000002</v>
      </c>
    </row>
  </sheetData>
  <mergeCells count="82">
    <mergeCell ref="G274:K274"/>
    <mergeCell ref="B2:D2"/>
    <mergeCell ref="G19:K19"/>
    <mergeCell ref="B53:D53"/>
    <mergeCell ref="G70:K70"/>
    <mergeCell ref="B104:D104"/>
    <mergeCell ref="G121:K121"/>
    <mergeCell ref="B155:D155"/>
    <mergeCell ref="G172:K172"/>
    <mergeCell ref="B206:D206"/>
    <mergeCell ref="G223:K223"/>
    <mergeCell ref="B257:D257"/>
    <mergeCell ref="G580:K580"/>
    <mergeCell ref="B308:D308"/>
    <mergeCell ref="G325:K325"/>
    <mergeCell ref="B359:D359"/>
    <mergeCell ref="G376:K376"/>
    <mergeCell ref="B410:D410"/>
    <mergeCell ref="G427:K427"/>
    <mergeCell ref="B461:D461"/>
    <mergeCell ref="G478:K478"/>
    <mergeCell ref="B512:D512"/>
    <mergeCell ref="G529:K529"/>
    <mergeCell ref="B563:D563"/>
    <mergeCell ref="B869:D869"/>
    <mergeCell ref="B614:D614"/>
    <mergeCell ref="G631:K631"/>
    <mergeCell ref="B665:D665"/>
    <mergeCell ref="G682:K682"/>
    <mergeCell ref="B716:D716"/>
    <mergeCell ref="G733:K733"/>
    <mergeCell ref="B767:D767"/>
    <mergeCell ref="G784:K784"/>
    <mergeCell ref="B818:D818"/>
    <mergeCell ref="G835:K835"/>
    <mergeCell ref="B841:D841"/>
    <mergeCell ref="G1141:K1141"/>
    <mergeCell ref="G886:K886"/>
    <mergeCell ref="B892:D892"/>
    <mergeCell ref="B920:D920"/>
    <mergeCell ref="G937:K937"/>
    <mergeCell ref="B971:D971"/>
    <mergeCell ref="G988:K988"/>
    <mergeCell ref="B1022:D1022"/>
    <mergeCell ref="G1039:K1039"/>
    <mergeCell ref="B1073:D1073"/>
    <mergeCell ref="G1090:K1090"/>
    <mergeCell ref="B1124:D1124"/>
    <mergeCell ref="G1447:K1447"/>
    <mergeCell ref="B1175:D1175"/>
    <mergeCell ref="G1192:K1192"/>
    <mergeCell ref="B1226:D1226"/>
    <mergeCell ref="G1243:K1243"/>
    <mergeCell ref="B1277:D1277"/>
    <mergeCell ref="G1294:K1294"/>
    <mergeCell ref="B1328:D1328"/>
    <mergeCell ref="G1345:K1345"/>
    <mergeCell ref="B1379:D1379"/>
    <mergeCell ref="G1396:K1396"/>
    <mergeCell ref="B1430:D1430"/>
    <mergeCell ref="G1753:K1753"/>
    <mergeCell ref="B1481:D1481"/>
    <mergeCell ref="G1498:K1498"/>
    <mergeCell ref="B1532:D1532"/>
    <mergeCell ref="G1549:K1549"/>
    <mergeCell ref="B1583:D1583"/>
    <mergeCell ref="G1600:K1600"/>
    <mergeCell ref="B1634:D1634"/>
    <mergeCell ref="G1651:K1651"/>
    <mergeCell ref="B1685:D1685"/>
    <mergeCell ref="G1702:K1702"/>
    <mergeCell ref="B1736:D1736"/>
    <mergeCell ref="B1940:D1940"/>
    <mergeCell ref="G1957:K1957"/>
    <mergeCell ref="B1991:D1991"/>
    <mergeCell ref="G2008:K2008"/>
    <mergeCell ref="B1787:D1787"/>
    <mergeCell ref="G1804:K1804"/>
    <mergeCell ref="B1838:D1838"/>
    <mergeCell ref="G1855:K1855"/>
    <mergeCell ref="B1889:D1889"/>
    <mergeCell ref="G1906:K1906"/>
  </mergeCells>
  <phoneticPr fontId="1"/>
  <conditionalFormatting sqref="E22">
    <cfRule type="containsText" dxfId="225" priority="136" operator="containsText" text="NG">
      <formula>NOT(ISERROR(SEARCH("NG",E22)))</formula>
    </cfRule>
  </conditionalFormatting>
  <conditionalFormatting sqref="E73">
    <cfRule type="containsText" dxfId="224" priority="135" operator="containsText" text="NG">
      <formula>NOT(ISERROR(SEARCH("NG",E73)))</formula>
    </cfRule>
  </conditionalFormatting>
  <conditionalFormatting sqref="E124">
    <cfRule type="containsText" dxfId="223" priority="134" operator="containsText" text="NG">
      <formula>NOT(ISERROR(SEARCH("NG",E124)))</formula>
    </cfRule>
  </conditionalFormatting>
  <conditionalFormatting sqref="E175">
    <cfRule type="containsText" dxfId="222" priority="133" operator="containsText" text="NG">
      <formula>NOT(ISERROR(SEARCH("NG",E175)))</formula>
    </cfRule>
  </conditionalFormatting>
  <conditionalFormatting sqref="E226">
    <cfRule type="containsText" dxfId="221" priority="132" operator="containsText" text="NG">
      <formula>NOT(ISERROR(SEARCH("NG",E226)))</formula>
    </cfRule>
  </conditionalFormatting>
  <conditionalFormatting sqref="E277">
    <cfRule type="containsText" dxfId="220" priority="131" operator="containsText" text="NG">
      <formula>NOT(ISERROR(SEARCH("NG",E277)))</formula>
    </cfRule>
  </conditionalFormatting>
  <conditionalFormatting sqref="E328">
    <cfRule type="containsText" dxfId="219" priority="130" operator="containsText" text="NG">
      <formula>NOT(ISERROR(SEARCH("NG",E328)))</formula>
    </cfRule>
  </conditionalFormatting>
  <conditionalFormatting sqref="E379">
    <cfRule type="containsText" dxfId="218" priority="129" operator="containsText" text="NG">
      <formula>NOT(ISERROR(SEARCH("NG",E379)))</formula>
    </cfRule>
  </conditionalFormatting>
  <conditionalFormatting sqref="E430">
    <cfRule type="containsText" dxfId="217" priority="125" operator="containsText" text="NG">
      <formula>NOT(ISERROR(SEARCH("NG",E430)))</formula>
    </cfRule>
  </conditionalFormatting>
  <conditionalFormatting sqref="E481">
    <cfRule type="containsText" dxfId="216" priority="121" operator="containsText" text="NG">
      <formula>NOT(ISERROR(SEARCH("NG",E481)))</formula>
    </cfRule>
  </conditionalFormatting>
  <conditionalFormatting sqref="E532">
    <cfRule type="containsText" dxfId="215" priority="117" operator="containsText" text="NG">
      <formula>NOT(ISERROR(SEARCH("NG",E532)))</formula>
    </cfRule>
  </conditionalFormatting>
  <conditionalFormatting sqref="E583">
    <cfRule type="containsText" dxfId="214" priority="113" operator="containsText" text="NG">
      <formula>NOT(ISERROR(SEARCH("NG",E583)))</formula>
    </cfRule>
  </conditionalFormatting>
  <conditionalFormatting sqref="E634">
    <cfRule type="containsText" dxfId="213" priority="109" operator="containsText" text="NG">
      <formula>NOT(ISERROR(SEARCH("NG",E634)))</formula>
    </cfRule>
  </conditionalFormatting>
  <conditionalFormatting sqref="E685">
    <cfRule type="containsText" dxfId="212" priority="105" operator="containsText" text="NG">
      <formula>NOT(ISERROR(SEARCH("NG",E685)))</formula>
    </cfRule>
  </conditionalFormatting>
  <conditionalFormatting sqref="E736">
    <cfRule type="containsText" dxfId="211" priority="101" operator="containsText" text="NG">
      <formula>NOT(ISERROR(SEARCH("NG",E736)))</formula>
    </cfRule>
  </conditionalFormatting>
  <conditionalFormatting sqref="E787">
    <cfRule type="containsText" dxfId="210" priority="97" operator="containsText" text="NG">
      <formula>NOT(ISERROR(SEARCH("NG",E787)))</formula>
    </cfRule>
  </conditionalFormatting>
  <conditionalFormatting sqref="E838">
    <cfRule type="containsText" dxfId="209" priority="93" operator="containsText" text="NG">
      <formula>NOT(ISERROR(SEARCH("NG",E838)))</formula>
    </cfRule>
  </conditionalFormatting>
  <conditionalFormatting sqref="E889">
    <cfRule type="containsText" dxfId="208" priority="89" operator="containsText" text="NG">
      <formula>NOT(ISERROR(SEARCH("NG",E889)))</formula>
    </cfRule>
  </conditionalFormatting>
  <conditionalFormatting sqref="E940">
    <cfRule type="containsText" dxfId="207" priority="85" operator="containsText" text="NG">
      <formula>NOT(ISERROR(SEARCH("NG",E940)))</formula>
    </cfRule>
  </conditionalFormatting>
  <conditionalFormatting sqref="E991">
    <cfRule type="containsText" dxfId="206" priority="81" operator="containsText" text="NG">
      <formula>NOT(ISERROR(SEARCH("NG",E991)))</formula>
    </cfRule>
  </conditionalFormatting>
  <conditionalFormatting sqref="E1042">
    <cfRule type="containsText" dxfId="205" priority="77" operator="containsText" text="NG">
      <formula>NOT(ISERROR(SEARCH("NG",E1042)))</formula>
    </cfRule>
  </conditionalFormatting>
  <conditionalFormatting sqref="E1093">
    <cfRule type="containsText" dxfId="204" priority="73" operator="containsText" text="NG">
      <formula>NOT(ISERROR(SEARCH("NG",E1093)))</formula>
    </cfRule>
  </conditionalFormatting>
  <conditionalFormatting sqref="E1144">
    <cfRule type="containsText" dxfId="203" priority="69" operator="containsText" text="NG">
      <formula>NOT(ISERROR(SEARCH("NG",E1144)))</formula>
    </cfRule>
  </conditionalFormatting>
  <conditionalFormatting sqref="E1195">
    <cfRule type="containsText" dxfId="202" priority="65" operator="containsText" text="NG">
      <formula>NOT(ISERROR(SEARCH("NG",E1195)))</formula>
    </cfRule>
  </conditionalFormatting>
  <conditionalFormatting sqref="E1246">
    <cfRule type="containsText" dxfId="201" priority="61" operator="containsText" text="NG">
      <formula>NOT(ISERROR(SEARCH("NG",E1246)))</formula>
    </cfRule>
  </conditionalFormatting>
  <conditionalFormatting sqref="E1297">
    <cfRule type="containsText" dxfId="200" priority="57" operator="containsText" text="NG">
      <formula>NOT(ISERROR(SEARCH("NG",E1297)))</formula>
    </cfRule>
  </conditionalFormatting>
  <conditionalFormatting sqref="E1348">
    <cfRule type="containsText" dxfId="199" priority="53" operator="containsText" text="NG">
      <formula>NOT(ISERROR(SEARCH("NG",E1348)))</formula>
    </cfRule>
  </conditionalFormatting>
  <conditionalFormatting sqref="E1399">
    <cfRule type="containsText" dxfId="198" priority="49" operator="containsText" text="NG">
      <formula>NOT(ISERROR(SEARCH("NG",E1399)))</formula>
    </cfRule>
  </conditionalFormatting>
  <conditionalFormatting sqref="E1450">
    <cfRule type="containsText" dxfId="197" priority="45" operator="containsText" text="NG">
      <formula>NOT(ISERROR(SEARCH("NG",E1450)))</formula>
    </cfRule>
  </conditionalFormatting>
  <conditionalFormatting sqref="E1501">
    <cfRule type="containsText" dxfId="196" priority="41" operator="containsText" text="NG">
      <formula>NOT(ISERROR(SEARCH("NG",E1501)))</formula>
    </cfRule>
  </conditionalFormatting>
  <conditionalFormatting sqref="E1552">
    <cfRule type="containsText" dxfId="195" priority="37" operator="containsText" text="NG">
      <formula>NOT(ISERROR(SEARCH("NG",E1552)))</formula>
    </cfRule>
  </conditionalFormatting>
  <conditionalFormatting sqref="E1603">
    <cfRule type="containsText" dxfId="194" priority="33" operator="containsText" text="NG">
      <formula>NOT(ISERROR(SEARCH("NG",E1603)))</formula>
    </cfRule>
  </conditionalFormatting>
  <conditionalFormatting sqref="E1654">
    <cfRule type="containsText" dxfId="193" priority="29" operator="containsText" text="NG">
      <formula>NOT(ISERROR(SEARCH("NG",E1654)))</formula>
    </cfRule>
  </conditionalFormatting>
  <conditionalFormatting sqref="E1705">
    <cfRule type="containsText" dxfId="192" priority="25" operator="containsText" text="NG">
      <formula>NOT(ISERROR(SEARCH("NG",E1705)))</formula>
    </cfRule>
  </conditionalFormatting>
  <conditionalFormatting sqref="E1756">
    <cfRule type="containsText" dxfId="191" priority="21" operator="containsText" text="NG">
      <formula>NOT(ISERROR(SEARCH("NG",E1756)))</formula>
    </cfRule>
  </conditionalFormatting>
  <conditionalFormatting sqref="E1807">
    <cfRule type="containsText" dxfId="190" priority="17" operator="containsText" text="NG">
      <formula>NOT(ISERROR(SEARCH("NG",E1807)))</formula>
    </cfRule>
  </conditionalFormatting>
  <conditionalFormatting sqref="E1858">
    <cfRule type="containsText" dxfId="189" priority="13" operator="containsText" text="NG">
      <formula>NOT(ISERROR(SEARCH("NG",E1858)))</formula>
    </cfRule>
  </conditionalFormatting>
  <conditionalFormatting sqref="E1909">
    <cfRule type="containsText" dxfId="188" priority="9" operator="containsText" text="NG">
      <formula>NOT(ISERROR(SEARCH("NG",E1909)))</formula>
    </cfRule>
  </conditionalFormatting>
  <conditionalFormatting sqref="E1960">
    <cfRule type="containsText" dxfId="187" priority="5" operator="containsText" text="NG">
      <formula>NOT(ISERROR(SEARCH("NG",E1960)))</formula>
    </cfRule>
  </conditionalFormatting>
  <conditionalFormatting sqref="E2011">
    <cfRule type="containsText" dxfId="186" priority="1" operator="containsText" text="NG">
      <formula>NOT(ISERROR(SEARCH("NG",E2011)))</formula>
    </cfRule>
  </conditionalFormatting>
  <conditionalFormatting sqref="J18">
    <cfRule type="cellIs" dxfId="185" priority="160" operator="equal">
      <formula>"OK"</formula>
    </cfRule>
    <cfRule type="cellIs" dxfId="184" priority="159" operator="equal">
      <formula>"NG"</formula>
    </cfRule>
  </conditionalFormatting>
  <conditionalFormatting sqref="J69">
    <cfRule type="cellIs" dxfId="183" priority="156" operator="equal">
      <formula>"NG"</formula>
    </cfRule>
    <cfRule type="cellIs" dxfId="182" priority="157" operator="equal">
      <formula>"OK"</formula>
    </cfRule>
  </conditionalFormatting>
  <conditionalFormatting sqref="J120">
    <cfRule type="cellIs" dxfId="181" priority="154" operator="equal">
      <formula>"OK"</formula>
    </cfRule>
    <cfRule type="cellIs" dxfId="180" priority="153" operator="equal">
      <formula>"NG"</formula>
    </cfRule>
  </conditionalFormatting>
  <conditionalFormatting sqref="J171">
    <cfRule type="cellIs" dxfId="179" priority="151" operator="equal">
      <formula>"OK"</formula>
    </cfRule>
    <cfRule type="cellIs" dxfId="178" priority="150" operator="equal">
      <formula>"NG"</formula>
    </cfRule>
  </conditionalFormatting>
  <conditionalFormatting sqref="J222">
    <cfRule type="cellIs" dxfId="177" priority="148" operator="equal">
      <formula>"OK"</formula>
    </cfRule>
    <cfRule type="cellIs" dxfId="176" priority="147" operator="equal">
      <formula>"NG"</formula>
    </cfRule>
  </conditionalFormatting>
  <conditionalFormatting sqref="J273">
    <cfRule type="cellIs" dxfId="175" priority="145" operator="equal">
      <formula>"OK"</formula>
    </cfRule>
    <cfRule type="cellIs" dxfId="174" priority="144" operator="equal">
      <formula>"NG"</formula>
    </cfRule>
  </conditionalFormatting>
  <conditionalFormatting sqref="J324">
    <cfRule type="cellIs" dxfId="173" priority="142" operator="equal">
      <formula>"OK"</formula>
    </cfRule>
    <cfRule type="cellIs" dxfId="172" priority="141" operator="equal">
      <formula>"NG"</formula>
    </cfRule>
  </conditionalFormatting>
  <conditionalFormatting sqref="J375">
    <cfRule type="cellIs" dxfId="171" priority="138" operator="equal">
      <formula>"NG"</formula>
    </cfRule>
    <cfRule type="cellIs" dxfId="170" priority="139" operator="equal">
      <formula>"OK"</formula>
    </cfRule>
  </conditionalFormatting>
  <conditionalFormatting sqref="J426">
    <cfRule type="cellIs" dxfId="169" priority="127" operator="equal">
      <formula>"NG"</formula>
    </cfRule>
    <cfRule type="cellIs" dxfId="168" priority="128" operator="equal">
      <formula>"OK"</formula>
    </cfRule>
  </conditionalFormatting>
  <conditionalFormatting sqref="J477">
    <cfRule type="cellIs" dxfId="167" priority="123" operator="equal">
      <formula>"NG"</formula>
    </cfRule>
    <cfRule type="cellIs" dxfId="166" priority="124" operator="equal">
      <formula>"OK"</formula>
    </cfRule>
  </conditionalFormatting>
  <conditionalFormatting sqref="J528">
    <cfRule type="cellIs" dxfId="165" priority="120" operator="equal">
      <formula>"OK"</formula>
    </cfRule>
    <cfRule type="cellIs" dxfId="164" priority="119" operator="equal">
      <formula>"NG"</formula>
    </cfRule>
  </conditionalFormatting>
  <conditionalFormatting sqref="J579">
    <cfRule type="cellIs" dxfId="163" priority="116" operator="equal">
      <formula>"OK"</formula>
    </cfRule>
    <cfRule type="cellIs" dxfId="162" priority="115" operator="equal">
      <formula>"NG"</formula>
    </cfRule>
  </conditionalFormatting>
  <conditionalFormatting sqref="J630">
    <cfRule type="cellIs" dxfId="161" priority="112" operator="equal">
      <formula>"OK"</formula>
    </cfRule>
    <cfRule type="cellIs" dxfId="160" priority="111" operator="equal">
      <formula>"NG"</formula>
    </cfRule>
  </conditionalFormatting>
  <conditionalFormatting sqref="J681">
    <cfRule type="cellIs" dxfId="159" priority="108" operator="equal">
      <formula>"OK"</formula>
    </cfRule>
    <cfRule type="cellIs" dxfId="158" priority="107" operator="equal">
      <formula>"NG"</formula>
    </cfRule>
  </conditionalFormatting>
  <conditionalFormatting sqref="J732">
    <cfRule type="cellIs" dxfId="157" priority="104" operator="equal">
      <formula>"OK"</formula>
    </cfRule>
    <cfRule type="cellIs" dxfId="156" priority="103" operator="equal">
      <formula>"NG"</formula>
    </cfRule>
  </conditionalFormatting>
  <conditionalFormatting sqref="J783">
    <cfRule type="cellIs" dxfId="155" priority="99" operator="equal">
      <formula>"NG"</formula>
    </cfRule>
    <cfRule type="cellIs" dxfId="154" priority="100" operator="equal">
      <formula>"OK"</formula>
    </cfRule>
  </conditionalFormatting>
  <conditionalFormatting sqref="J834">
    <cfRule type="cellIs" dxfId="153" priority="96" operator="equal">
      <formula>"OK"</formula>
    </cfRule>
    <cfRule type="cellIs" dxfId="152" priority="95" operator="equal">
      <formula>"NG"</formula>
    </cfRule>
  </conditionalFormatting>
  <conditionalFormatting sqref="J885">
    <cfRule type="cellIs" dxfId="151" priority="92" operator="equal">
      <formula>"OK"</formula>
    </cfRule>
    <cfRule type="cellIs" dxfId="150" priority="91" operator="equal">
      <formula>"NG"</formula>
    </cfRule>
  </conditionalFormatting>
  <conditionalFormatting sqref="J936">
    <cfRule type="cellIs" dxfId="149" priority="87" operator="equal">
      <formula>"NG"</formula>
    </cfRule>
    <cfRule type="cellIs" dxfId="148" priority="88" operator="equal">
      <formula>"OK"</formula>
    </cfRule>
  </conditionalFormatting>
  <conditionalFormatting sqref="J987">
    <cfRule type="cellIs" dxfId="147" priority="83" operator="equal">
      <formula>"NG"</formula>
    </cfRule>
    <cfRule type="cellIs" dxfId="146" priority="84" operator="equal">
      <formula>"OK"</formula>
    </cfRule>
  </conditionalFormatting>
  <conditionalFormatting sqref="J1038">
    <cfRule type="cellIs" dxfId="145" priority="79" operator="equal">
      <formula>"NG"</formula>
    </cfRule>
    <cfRule type="cellIs" dxfId="144" priority="80" operator="equal">
      <formula>"OK"</formula>
    </cfRule>
  </conditionalFormatting>
  <conditionalFormatting sqref="J1089">
    <cfRule type="cellIs" dxfId="143" priority="75" operator="equal">
      <formula>"NG"</formula>
    </cfRule>
    <cfRule type="cellIs" dxfId="142" priority="76" operator="equal">
      <formula>"OK"</formula>
    </cfRule>
  </conditionalFormatting>
  <conditionalFormatting sqref="J1140">
    <cfRule type="cellIs" dxfId="141" priority="71" operator="equal">
      <formula>"NG"</formula>
    </cfRule>
    <cfRule type="cellIs" dxfId="140" priority="72" operator="equal">
      <formula>"OK"</formula>
    </cfRule>
  </conditionalFormatting>
  <conditionalFormatting sqref="J1191">
    <cfRule type="cellIs" dxfId="139" priority="68" operator="equal">
      <formula>"OK"</formula>
    </cfRule>
    <cfRule type="cellIs" dxfId="138" priority="67" operator="equal">
      <formula>"NG"</formula>
    </cfRule>
  </conditionalFormatting>
  <conditionalFormatting sqref="J1242">
    <cfRule type="cellIs" dxfId="137" priority="63" operator="equal">
      <formula>"NG"</formula>
    </cfRule>
    <cfRule type="cellIs" dxfId="136" priority="64" operator="equal">
      <formula>"OK"</formula>
    </cfRule>
  </conditionalFormatting>
  <conditionalFormatting sqref="J1293">
    <cfRule type="cellIs" dxfId="135" priority="59" operator="equal">
      <formula>"NG"</formula>
    </cfRule>
    <cfRule type="cellIs" dxfId="134" priority="60" operator="equal">
      <formula>"OK"</formula>
    </cfRule>
  </conditionalFormatting>
  <conditionalFormatting sqref="J1344">
    <cfRule type="cellIs" dxfId="133" priority="55" operator="equal">
      <formula>"NG"</formula>
    </cfRule>
    <cfRule type="cellIs" dxfId="132" priority="56" operator="equal">
      <formula>"OK"</formula>
    </cfRule>
  </conditionalFormatting>
  <conditionalFormatting sqref="J1395">
    <cfRule type="cellIs" dxfId="131" priority="52" operator="equal">
      <formula>"OK"</formula>
    </cfRule>
    <cfRule type="cellIs" dxfId="130" priority="51" operator="equal">
      <formula>"NG"</formula>
    </cfRule>
  </conditionalFormatting>
  <conditionalFormatting sqref="J1446">
    <cfRule type="cellIs" dxfId="129" priority="48" operator="equal">
      <formula>"OK"</formula>
    </cfRule>
    <cfRule type="cellIs" dxfId="128" priority="47" operator="equal">
      <formula>"NG"</formula>
    </cfRule>
  </conditionalFormatting>
  <conditionalFormatting sqref="J1497">
    <cfRule type="cellIs" dxfId="127" priority="44" operator="equal">
      <formula>"OK"</formula>
    </cfRule>
    <cfRule type="cellIs" dxfId="126" priority="43" operator="equal">
      <formula>"NG"</formula>
    </cfRule>
  </conditionalFormatting>
  <conditionalFormatting sqref="J1548">
    <cfRule type="cellIs" dxfId="125" priority="40" operator="equal">
      <formula>"OK"</formula>
    </cfRule>
    <cfRule type="cellIs" dxfId="124" priority="39" operator="equal">
      <formula>"NG"</formula>
    </cfRule>
  </conditionalFormatting>
  <conditionalFormatting sqref="J1599">
    <cfRule type="cellIs" dxfId="123" priority="35" operator="equal">
      <formula>"NG"</formula>
    </cfRule>
    <cfRule type="cellIs" dxfId="122" priority="36" operator="equal">
      <formula>"OK"</formula>
    </cfRule>
  </conditionalFormatting>
  <conditionalFormatting sqref="J1650">
    <cfRule type="cellIs" dxfId="121" priority="31" operator="equal">
      <formula>"NG"</formula>
    </cfRule>
    <cfRule type="cellIs" dxfId="120" priority="32" operator="equal">
      <formula>"OK"</formula>
    </cfRule>
  </conditionalFormatting>
  <conditionalFormatting sqref="J1701">
    <cfRule type="cellIs" dxfId="119" priority="27" operator="equal">
      <formula>"NG"</formula>
    </cfRule>
    <cfRule type="cellIs" dxfId="118" priority="28" operator="equal">
      <formula>"OK"</formula>
    </cfRule>
  </conditionalFormatting>
  <conditionalFormatting sqref="J1752">
    <cfRule type="cellIs" dxfId="117" priority="23" operator="equal">
      <formula>"NG"</formula>
    </cfRule>
    <cfRule type="cellIs" dxfId="116" priority="24" operator="equal">
      <formula>"OK"</formula>
    </cfRule>
  </conditionalFormatting>
  <conditionalFormatting sqref="J1803">
    <cfRule type="cellIs" dxfId="115" priority="19" operator="equal">
      <formula>"NG"</formula>
    </cfRule>
    <cfRule type="cellIs" dxfId="114" priority="20" operator="equal">
      <formula>"OK"</formula>
    </cfRule>
  </conditionalFormatting>
  <conditionalFormatting sqref="J1854">
    <cfRule type="cellIs" dxfId="113" priority="15" operator="equal">
      <formula>"NG"</formula>
    </cfRule>
    <cfRule type="cellIs" dxfId="112" priority="16" operator="equal">
      <formula>"OK"</formula>
    </cfRule>
  </conditionalFormatting>
  <conditionalFormatting sqref="J1905">
    <cfRule type="cellIs" dxfId="111" priority="11" operator="equal">
      <formula>"NG"</formula>
    </cfRule>
    <cfRule type="cellIs" dxfId="110" priority="12" operator="equal">
      <formula>"OK"</formula>
    </cfRule>
  </conditionalFormatting>
  <conditionalFormatting sqref="J1956">
    <cfRule type="cellIs" dxfId="109" priority="7" operator="equal">
      <formula>"NG"</formula>
    </cfRule>
    <cfRule type="cellIs" dxfId="108" priority="8" operator="equal">
      <formula>"OK"</formula>
    </cfRule>
  </conditionalFormatting>
  <conditionalFormatting sqref="J2007">
    <cfRule type="cellIs" dxfId="107" priority="4" operator="equal">
      <formula>"OK"</formula>
    </cfRule>
    <cfRule type="cellIs" dxfId="106" priority="3" operator="equal">
      <formula>"NG"</formula>
    </cfRule>
  </conditionalFormatting>
  <conditionalFormatting sqref="K18">
    <cfRule type="expression" dxfId="105" priority="158">
      <formula>J18="NG"</formula>
    </cfRule>
  </conditionalFormatting>
  <conditionalFormatting sqref="K69">
    <cfRule type="expression" dxfId="104" priority="155">
      <formula>J69="NG"</formula>
    </cfRule>
  </conditionalFormatting>
  <conditionalFormatting sqref="K120">
    <cfRule type="expression" dxfId="103" priority="152">
      <formula>J120="NG"</formula>
    </cfRule>
  </conditionalFormatting>
  <conditionalFormatting sqref="K171">
    <cfRule type="expression" dxfId="102" priority="149">
      <formula>J171="NG"</formula>
    </cfRule>
  </conditionalFormatting>
  <conditionalFormatting sqref="K222">
    <cfRule type="expression" dxfId="101" priority="146">
      <formula>J222="NG"</formula>
    </cfRule>
  </conditionalFormatting>
  <conditionalFormatting sqref="K273">
    <cfRule type="expression" dxfId="100" priority="143">
      <formula>J273="NG"</formula>
    </cfRule>
  </conditionalFormatting>
  <conditionalFormatting sqref="K324">
    <cfRule type="expression" dxfId="99" priority="140">
      <formula>J324="NG"</formula>
    </cfRule>
  </conditionalFormatting>
  <conditionalFormatting sqref="K375">
    <cfRule type="expression" dxfId="98" priority="137">
      <formula>J375="NG"</formula>
    </cfRule>
  </conditionalFormatting>
  <conditionalFormatting sqref="K426">
    <cfRule type="expression" dxfId="97" priority="126">
      <formula>J426="NG"</formula>
    </cfRule>
  </conditionalFormatting>
  <conditionalFormatting sqref="K477">
    <cfRule type="expression" dxfId="96" priority="122">
      <formula>J477="NG"</formula>
    </cfRule>
  </conditionalFormatting>
  <conditionalFormatting sqref="K528">
    <cfRule type="expression" dxfId="95" priority="118">
      <formula>J528="NG"</formula>
    </cfRule>
  </conditionalFormatting>
  <conditionalFormatting sqref="K579">
    <cfRule type="expression" dxfId="94" priority="114">
      <formula>J579="NG"</formula>
    </cfRule>
  </conditionalFormatting>
  <conditionalFormatting sqref="K630">
    <cfRule type="expression" dxfId="93" priority="110">
      <formula>J630="NG"</formula>
    </cfRule>
  </conditionalFormatting>
  <conditionalFormatting sqref="K681">
    <cfRule type="expression" dxfId="92" priority="106">
      <formula>J681="NG"</formula>
    </cfRule>
  </conditionalFormatting>
  <conditionalFormatting sqref="K732">
    <cfRule type="expression" dxfId="91" priority="102">
      <formula>J732="NG"</formula>
    </cfRule>
  </conditionalFormatting>
  <conditionalFormatting sqref="K783">
    <cfRule type="expression" dxfId="90" priority="98">
      <formula>J783="NG"</formula>
    </cfRule>
  </conditionalFormatting>
  <conditionalFormatting sqref="K834">
    <cfRule type="expression" dxfId="89" priority="94">
      <formula>J834="NG"</formula>
    </cfRule>
  </conditionalFormatting>
  <conditionalFormatting sqref="K885">
    <cfRule type="expression" dxfId="88" priority="90">
      <formula>J885="NG"</formula>
    </cfRule>
  </conditionalFormatting>
  <conditionalFormatting sqref="K936">
    <cfRule type="expression" dxfId="87" priority="86">
      <formula>J936="NG"</formula>
    </cfRule>
  </conditionalFormatting>
  <conditionalFormatting sqref="K987">
    <cfRule type="expression" dxfId="86" priority="82">
      <formula>J987="NG"</formula>
    </cfRule>
  </conditionalFormatting>
  <conditionalFormatting sqref="K1038">
    <cfRule type="expression" dxfId="85" priority="78">
      <formula>J1038="NG"</formula>
    </cfRule>
  </conditionalFormatting>
  <conditionalFormatting sqref="K1089">
    <cfRule type="expression" dxfId="84" priority="74">
      <formula>J1089="NG"</formula>
    </cfRule>
  </conditionalFormatting>
  <conditionalFormatting sqref="K1140">
    <cfRule type="expression" dxfId="83" priority="70">
      <formula>J1140="NG"</formula>
    </cfRule>
  </conditionalFormatting>
  <conditionalFormatting sqref="K1191">
    <cfRule type="expression" dxfId="82" priority="66">
      <formula>J1191="NG"</formula>
    </cfRule>
  </conditionalFormatting>
  <conditionalFormatting sqref="K1242">
    <cfRule type="expression" dxfId="81" priority="62">
      <formula>J1242="NG"</formula>
    </cfRule>
  </conditionalFormatting>
  <conditionalFormatting sqref="K1293">
    <cfRule type="expression" dxfId="80" priority="58">
      <formula>J1293="NG"</formula>
    </cfRule>
  </conditionalFormatting>
  <conditionalFormatting sqref="K1344">
    <cfRule type="expression" dxfId="79" priority="54">
      <formula>J1344="NG"</formula>
    </cfRule>
  </conditionalFormatting>
  <conditionalFormatting sqref="K1395">
    <cfRule type="expression" dxfId="78" priority="50">
      <formula>J1395="NG"</formula>
    </cfRule>
  </conditionalFormatting>
  <conditionalFormatting sqref="K1446">
    <cfRule type="expression" dxfId="77" priority="46">
      <formula>J1446="NG"</formula>
    </cfRule>
  </conditionalFormatting>
  <conditionalFormatting sqref="K1497">
    <cfRule type="expression" dxfId="76" priority="42">
      <formula>J1497="NG"</formula>
    </cfRule>
  </conditionalFormatting>
  <conditionalFormatting sqref="K1548">
    <cfRule type="expression" dxfId="75" priority="38">
      <formula>J1548="NG"</formula>
    </cfRule>
  </conditionalFormatting>
  <conditionalFormatting sqref="K1599">
    <cfRule type="expression" dxfId="74" priority="34">
      <formula>J1599="NG"</formula>
    </cfRule>
  </conditionalFormatting>
  <conditionalFormatting sqref="K1650">
    <cfRule type="expression" dxfId="73" priority="30">
      <formula>J1650="NG"</formula>
    </cfRule>
  </conditionalFormatting>
  <conditionalFormatting sqref="K1701">
    <cfRule type="expression" dxfId="72" priority="26">
      <formula>J1701="NG"</formula>
    </cfRule>
  </conditionalFormatting>
  <conditionalFormatting sqref="K1752">
    <cfRule type="expression" dxfId="71" priority="22">
      <formula>J1752="NG"</formula>
    </cfRule>
  </conditionalFormatting>
  <conditionalFormatting sqref="K1803">
    <cfRule type="expression" dxfId="70" priority="18">
      <formula>J1803="NG"</formula>
    </cfRule>
  </conditionalFormatting>
  <conditionalFormatting sqref="K1854">
    <cfRule type="expression" dxfId="69" priority="14">
      <formula>J1854="NG"</formula>
    </cfRule>
  </conditionalFormatting>
  <conditionalFormatting sqref="K1905">
    <cfRule type="expression" dxfId="68" priority="10">
      <formula>J1905="NG"</formula>
    </cfRule>
  </conditionalFormatting>
  <conditionalFormatting sqref="K1956">
    <cfRule type="expression" dxfId="67" priority="6">
      <formula>J1956="NG"</formula>
    </cfRule>
  </conditionalFormatting>
  <conditionalFormatting sqref="K2007">
    <cfRule type="expression" dxfId="66" priority="2">
      <formula>J2007="NG"</formula>
    </cfRule>
  </conditionalFormatting>
  <dataValidations count="16">
    <dataValidation type="list" allowBlank="1" showInputMessage="1" showErrorMessage="1" sqref="B2:D2 B53:D53 B104:D104 B155:D155 B206:D206 B257:D257 B308:D308 B359:D359 B410:D410 B461:D461 B512:D512 B563:D563 B614:D614 B665:D665 B716:D716 B767:D767 B818:D818 B841:D841 B869:D869 B892:D892 B920:D920 B971:D971 B1022:D1022 B1073:D1073 B1124:D1124 B1175:D1175 B1226:D1226 B1277:D1277 B1328:D1328 B1379:D1379 B1430:D1430 B1481:D1481 B1532:D1532 B1583:D1583 B1634:D1634 B1685:D1685 B1736:D1736 B1787:D1787 B1838:D1838 B1889:D1889 B1940:D1940 B1991:D1991" xr:uid="{C61BC82D-E7F8-4580-8F66-014C62393B64}">
      <formula1>"【残置：EHDアンカーHP工法 数量表・材料規格】,【長期：EHDアンカーHP工法 数量表・材料規格】,【本設：EHDアンカーHP工法 数量表・材料規格】"</formula1>
    </dataValidation>
    <dataValidation type="list" allowBlank="1" showInputMessage="1" showErrorMessage="1" sqref="D8 D59 D110 D161 D212 D314 D365 D263 D416 D467 D518 D569 D620 D671 D722 D773 D824 D875 D926 D977 D1028 D1079 D1130 D1181 D1232 D1283 D1334 D1385 D1436 D1487 D1538 D1589 D1640 D1691 D1742 D1793 D1844 D1895 D1946 D1997" xr:uid="{126AAD88-1943-475E-A696-F8F0316D6EFC}">
      <formula1>"　,EHD5-1H,EHD5-2H,EHD5-3H,EHD5-4H,EHD5-5H,EHD5-6H,EHD5-7H,EHD5-8H,EHD5-9H,EHD5-10H,EHD5-11H,EHD5-12H,EHD6-1H,EHD6-2H,EHD6-3H,EHD6-4H,EHD6-5H,EHD6-6H,EHD6-7H,EHD6-8H,EHD6-9H,EHD6-10H,EHD6-11H,EHD6-12H,EHD6-13H,EHD6-14H"</formula1>
    </dataValidation>
    <dataValidation type="list" allowBlank="1" showInputMessage="1" showErrorMessage="1" sqref="D9 D315 D60 D111 D162 D213 D264 D366 D417 D468 D519 D570 D621 D672 D723 D774 D825 D876 D927 D978 D1029 D1080 D1131 D1182 D1233 D1284 D1335 D1386 D1437 D1488 D1539 D1590 D1641 D1692 D1743 D1794 D1845 D1896 D1947 D1998" xr:uid="{1CDA4ECB-946D-4A14-B793-05D632B923D8}">
      <formula1>"防食Ⅱ,防食Ⅲ(塩害環境),防食Ⅲ(酸性土壌)"</formula1>
    </dataValidation>
    <dataValidation type="list" allowBlank="1" showInputMessage="1" showErrorMessage="1" sqref="D226 D22 D277 D328 D73 D124 D175 D379 D430 D481 D532 D583 D634 D685 D736 D787 D838 D889 D940 D991 D1042 D1093 D1144 D1195 D1246 D1297 D1348 D1399 D1450 D1501 D1552 D1603 D1654 D1705 D1756 D1807 D1858 D1909 D1960 D2011" xr:uid="{5CE02A19-4752-41DB-A07B-0A61F6D61DCD}">
      <formula1>"　,90,115,135,146,165,216"</formula1>
    </dataValidation>
    <dataValidation type="list" allowBlank="1" showInputMessage="1" showErrorMessage="1" sqref="D14 D65 D269 D320 D116 D167 D218 D371 D422 D473 D524 D575 D626 D677 D728 D779 D830 D881 D932 D983 D1034 D1085 D1136 D1187 D1238 D1289 D1340 D1391 D1442 D1493 D1544 D1595 D1646 D1697 D1748 D1799 D1850 D1901 D1952 D2003" xr:uid="{1F6E3317-FC63-4F46-89F4-5C54EC05E1AB}">
      <formula1>"0.0,0.2,0.3,0.4,0.5,0.6,0.7,0.8,0.9,1.0,1.1,1.2,1.3,1.4,1.5,1.6,1.7"</formula1>
    </dataValidation>
    <dataValidation type="list" allowBlank="1" showInputMessage="1" showErrorMessage="1" sqref="D16 D67 D271 D322 D118 D169 D220 D373 D424 D475 D526 D577 D628 D679 D730 D781 D832 D883 D934 D985 D1036 D1087 D1138 D1189 D1240 D1291 D1342 D1393 D1444 D1495 D1546 D1597 D1648 D1699 D1750 D1801 D1852 D1903 D1954 D2005" xr:uid="{EA674D05-706A-45EB-9AC6-5995E613F320}">
      <formula1>"3.0,3.5,4.0,4.5,5.0,5.5,6.0,6.5,7.0,7.5,8.0,8.5,9.0,9.5,10.0"</formula1>
    </dataValidation>
    <dataValidation type="list" allowBlank="1" showInputMessage="1" showErrorMessage="1" sqref="D12 D63 D267 D318 D114 D165 D216 D369 D420 D471 D522 D573 D624 D675 D726 D777 D828 D879 D930 D981 D1032 D1083 D1134 D1185 D1236 D1287 D1338 D1389 D1440 D1491 D1542 D1593 D1644 D1695 D1746 D1797 D1848 D1899 D1950 D2001" xr:uid="{79CABAA0-D83D-4B30-99B5-E03B50C28FF0}">
      <formula1>"　,DA220,DA330,DA440,DA550,DA660,DA770,DA880,DA990,DA1100,DA1210,DA1320,DA1410,DA1570,DA1730,DA1880,DA2040,DA2200"</formula1>
    </dataValidation>
    <dataValidation type="list" allowBlank="1" showInputMessage="1" showErrorMessage="1" sqref="G2 G155 G53 G104 G206 G257 G308 G359 G410 G461 G512 G563 G614 G665 G716 G767 G818 G869 G920 G971 G1022 G1073 G1124 G1175 G1226 G1277 G1328 G1379 G1430 G1481 G1532 G1583 G1634 G1685 G1736 G1787 G1838 G1889 G1940 G1991" xr:uid="{461450D7-BA93-4E06-8F74-D862C5A7A9E9}">
      <formula1>"H200,H250,H300,H350,H400,H414"</formula1>
    </dataValidation>
    <dataValidation type="list" allowBlank="1" showInputMessage="1" showErrorMessage="1" sqref="F2" xr:uid="{1170E75C-0086-482F-A49C-A2196E34FA92}">
      <formula1>"DA220,DA330,DA440,DA550,DA660,DA770,DA880,DA990,DA1100,DA1210,DA1320,DA1410,DA1570,DA1730,DA1880,DA2040,DA2200"</formula1>
    </dataValidation>
    <dataValidation type="list" allowBlank="1" showInputMessage="1" showErrorMessage="1" sqref="G7 G109 G313 G58 G160 G211 G262 G364 G415 G466 G517 G568 G619 G670 G721 G772 G823 G874 G925 G976 G1027 G1078 G1129 G1180 G1231 G1282 G1333 G1384 G1435 G1486 G1537 G1588 G1639 G1690 G1741 G1792 G1843 G1894 G1945 G1996" xr:uid="{128A548B-0731-4373-B90B-4272D81DFC62}">
      <formula1>"　,受圧板,角度台座＋受圧板,増コンクリート,壁面台座,のり枠□300,のり枠□400,のり枠□500,のり枠□600,角度台座＋のり枠□300,角度台座＋のり枠□400,角度台座＋のり枠□500,角度台座＋のり枠□600,土留め台座+腹起し"</formula1>
    </dataValidation>
    <dataValidation type="list" allowBlank="1" showInputMessage="1" showErrorMessage="1" sqref="D10 D61 D265 D316 D112 D163 D214 D367 D418 D469 D520 D571 D622 D673 D724 D775 D826 D877 D928 D979 D1030 D1081 D1132 D1183 D1234 D1285 D1336 D1387 D1438 D1489 D1540 D1591 D1642 D1693 D1744 D1795 D1846 D1897 D1948 D1999" xr:uid="{DFCA4ED5-7EC7-42F3-BDFB-98E893A0E726}">
      <formula1>"透明キャップ,5窓キャップ,下1窓キャップ,アルミキャッフ゜"</formula1>
    </dataValidation>
    <dataValidation type="list" allowBlank="1" showInputMessage="1" showErrorMessage="1" sqref="M7 M58 M109 M160 M211 M262 M313 M364" xr:uid="{F9B5F605-071F-4C5C-9F25-A67244B3B317}">
      <formula1>"【残置EHアンカー数量表・材料規格】,【長期EHアンカー数量表・材料規格】"</formula1>
    </dataValidation>
    <dataValidation type="list" allowBlank="1" showInputMessage="1" showErrorMessage="1" sqref="D11 D62 D266 D317 D113 D164 D215 D368 D419 D470 D521 D572 D623 D674 D725 D776 D827 D878 D929 D980 D1031 D1082 D1133 D1184 D1235 D1286 D1337 D1388 D1439 D1490 D1541 D1592 D1643 D1694 D1745 D1796 D1847 D1898 D1949 D2000" xr:uid="{C5DD52F1-D4C8-4F56-8B2B-C9F843ECA789}">
      <formula1>"なし,受圧体のみ,のり面角度台座付,構造物壁面台座,土留め台座"</formula1>
    </dataValidation>
    <dataValidation type="list" allowBlank="1" showInputMessage="1" showErrorMessage="1" sqref="D64 D13 D319 D115 D166 D217 D268 D370 D421 D472 D523 D574 D625 D676 D727 D778 D829 D880 D931 D982 D1033 D1084 D1135 D1186 D1237 D1288 D1339 D1390 D1441 D1492 D1543 D1594 D1645 D1696 D1747 D1798 D1849 D1900 D1951 D2002" xr:uid="{6C66E7C8-8362-421D-B204-03D7AD379A36}">
      <formula1>"なし,あり"</formula1>
    </dataValidation>
    <dataValidation type="list" allowBlank="1" showInputMessage="1" showErrorMessage="1" sqref="G19 G121 G325 G70 G172 G223 G274 G376 G427 G478 G529 G580 G631 G682 G733 G784 G835 G886 G937 G988 G1039 G1090 G1141 G1192 G1243 G1294 G1345 G1396 G1447 G1498 G1549 G1600 G1651 G1702 G1753 G1804 G1855 G1906 G1957 G2008" xr:uid="{B803DAF5-0B36-4987-BFFC-989FFB820E47}">
      <formula1>"ﾛｰﾀﾘｰﾊﾟｰｶｯｼｮﾝ二重管削孔方式，ｽｷｯﾄﾞ型削孔機55kW級,ﾛｰﾀﾘｰﾊﾟｰｶｯｼｮﾝ二重管削孔方式，ｸﾛｰﾗ型削孔機81kW級"</formula1>
    </dataValidation>
    <dataValidation type="list" allowBlank="1" showInputMessage="1" showErrorMessage="1" sqref="F7:F15 F109:F117 F313:F321 F58:F66 F160:F168 F211:F219 F262:F270 F364:F372 F415:F423 F466:F474 F517:F525 F568:F576 F619:F627 F670:F678 F721:F729 F772:F780 F823:F831 F874:F882 F925:F933 F976:F984 F1027:F1035 F1078:F1086 F1129:F1137 F1180:F1188 F1231:F1239 F1282:F1290 F1333:F1341 F1384:F1392 F1435:F1443 F1486:F1494 F1537:F1545 F1588:F1596 F1639:F1647 F1690:F1698 F1741:F1749 F1792:F1800 F1843:F1851 F1894:F1902 F1945:F1953 F1996:F2004" xr:uid="{90350EF2-F6E5-4B9E-8682-85481E283721}">
      <formula1>"非削孔,粘性土,砂質土,崩積土,礫質土,砂　礫,玉　石,軟　岩,中硬岩,硬　岩,特殊地盤,無設定"</formula1>
    </dataValidation>
  </dataValidations>
  <pageMargins left="0.7" right="0.7" top="0.75" bottom="0.75" header="0.3" footer="0.3"/>
  <pageSetup paperSize="9" scale="64" orientation="portrait" horizontalDpi="1200" verticalDpi="1200" r:id="rId1"/>
  <rowBreaks count="39" manualBreakCount="39">
    <brk id="51" max="16383" man="1"/>
    <brk id="102" max="16383" man="1"/>
    <brk id="153" max="16383" man="1"/>
    <brk id="204" max="16383" man="1"/>
    <brk id="255" max="16383" man="1"/>
    <brk id="306" max="16383" man="1"/>
    <brk id="357" max="16383" man="1"/>
    <brk id="408" max="16383" man="1"/>
    <brk id="459" max="16383" man="1"/>
    <brk id="510" max="16383" man="1"/>
    <brk id="561" max="16383" man="1"/>
    <brk id="612" max="16383" man="1"/>
    <brk id="663" max="16383" man="1"/>
    <brk id="714" max="16383" man="1"/>
    <brk id="765" max="16383" man="1"/>
    <brk id="816" max="16383" man="1"/>
    <brk id="867" max="16383" man="1"/>
    <brk id="918" max="16383" man="1"/>
    <brk id="969" max="16383" man="1"/>
    <brk id="1020" max="16383" man="1"/>
    <brk id="1071" max="16383" man="1"/>
    <brk id="1122" max="16383" man="1"/>
    <brk id="1173" max="16383" man="1"/>
    <brk id="1224" max="16383" man="1"/>
    <brk id="1275" max="16383" man="1"/>
    <brk id="1326" max="16383" man="1"/>
    <brk id="1377" max="16383" man="1"/>
    <brk id="1428" max="16383" man="1"/>
    <brk id="1480" max="16383" man="1"/>
    <brk id="1530" max="16383" man="1"/>
    <brk id="1581" max="16383" man="1"/>
    <brk id="1632" max="16383" man="1"/>
    <brk id="1683" max="16383" man="1"/>
    <brk id="1734" max="16383" man="1"/>
    <brk id="1785" max="16383" man="1"/>
    <brk id="1836" max="16383" man="1"/>
    <brk id="1887" max="16383" man="1"/>
    <brk id="1938" max="16383" man="1"/>
    <brk id="198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3ACE6-0789-47D7-904F-EC563D1CD719}">
  <sheetPr>
    <tabColor rgb="FFFFFFCC"/>
  </sheetPr>
  <dimension ref="B1:N281"/>
  <sheetViews>
    <sheetView view="pageBreakPreview" topLeftCell="A22" zoomScale="85" zoomScaleNormal="85" zoomScaleSheetLayoutView="85" workbookViewId="0">
      <selection activeCell="F19" sqref="F19"/>
    </sheetView>
  </sheetViews>
  <sheetFormatPr defaultRowHeight="12" customHeight="1"/>
  <cols>
    <col min="1" max="1" width="1.875" customWidth="1"/>
    <col min="2" max="2" width="23" customWidth="1"/>
    <col min="3" max="3" width="5.375" customWidth="1"/>
    <col min="4" max="4" width="8.875" customWidth="1"/>
    <col min="5" max="5" width="9.625" customWidth="1"/>
    <col min="6" max="6" width="14.625" customWidth="1"/>
    <col min="7" max="7" width="9.875" customWidth="1"/>
    <col min="8" max="8" width="29.875" customWidth="1"/>
    <col min="9" max="9" width="6.375" style="101" customWidth="1"/>
    <col min="10" max="10" width="6.125" style="20" customWidth="1"/>
    <col min="11" max="12" width="9" style="20"/>
  </cols>
  <sheetData>
    <row r="1" spans="2:14" ht="12" customHeight="1">
      <c r="N1" s="150">
        <v>0.25</v>
      </c>
    </row>
    <row r="2" spans="2:14" ht="12" customHeight="1">
      <c r="B2" s="251" t="s">
        <v>88</v>
      </c>
      <c r="C2" s="251"/>
      <c r="D2" s="251"/>
      <c r="N2" s="3" t="s">
        <v>121</v>
      </c>
    </row>
    <row r="3" spans="2:14" ht="12" customHeight="1">
      <c r="B3" s="15" t="s">
        <v>111</v>
      </c>
      <c r="C3" s="15"/>
      <c r="D3" s="1"/>
      <c r="E3" s="1"/>
      <c r="F3" s="1"/>
      <c r="I3" s="119"/>
      <c r="K3" s="118"/>
    </row>
    <row r="4" spans="2:14" ht="12" customHeight="1">
      <c r="B4" s="111" t="s">
        <v>117</v>
      </c>
      <c r="C4" s="3"/>
      <c r="D4" s="1"/>
      <c r="E4" s="1"/>
      <c r="F4" s="1"/>
      <c r="G4" s="8"/>
      <c r="H4" s="8"/>
      <c r="I4" s="102"/>
      <c r="J4" s="28"/>
      <c r="K4" s="118"/>
    </row>
    <row r="5" spans="2:14" ht="12" customHeight="1">
      <c r="B5" s="15" t="s">
        <v>40</v>
      </c>
      <c r="C5" s="3"/>
      <c r="D5" s="1"/>
      <c r="E5" s="1"/>
      <c r="F5" s="1"/>
      <c r="G5" s="15" t="s">
        <v>54</v>
      </c>
      <c r="H5" s="15"/>
      <c r="I5" s="102"/>
      <c r="J5" s="28"/>
    </row>
    <row r="6" spans="2:14" ht="12" customHeight="1">
      <c r="B6" s="2" t="s">
        <v>53</v>
      </c>
      <c r="C6" s="2" t="s">
        <v>21</v>
      </c>
      <c r="D6" s="2" t="s">
        <v>22</v>
      </c>
      <c r="E6" s="2" t="s">
        <v>84</v>
      </c>
      <c r="F6" s="17"/>
      <c r="G6" s="2" t="s">
        <v>41</v>
      </c>
      <c r="H6" s="97" t="s">
        <v>59</v>
      </c>
      <c r="I6" s="49" t="s">
        <v>44</v>
      </c>
      <c r="J6" s="2" t="s">
        <v>21</v>
      </c>
      <c r="K6" s="49" t="s">
        <v>29</v>
      </c>
      <c r="L6" s="2" t="s">
        <v>28</v>
      </c>
    </row>
    <row r="7" spans="2:14" ht="12" customHeight="1">
      <c r="B7" s="51" t="s">
        <v>37</v>
      </c>
      <c r="C7" s="50" t="s">
        <v>38</v>
      </c>
      <c r="D7" s="70" t="s">
        <v>128</v>
      </c>
      <c r="E7" s="137" t="s">
        <v>71</v>
      </c>
      <c r="F7" s="17"/>
      <c r="G7" s="86" t="str">
        <f>IF(D20=0,"",G8)</f>
        <v>非削孔</v>
      </c>
      <c r="H7" s="87" t="str">
        <f>IF(D20=0,"",H9&amp;" (背面管部）")</f>
        <v>弱風化岩 D (背面管部）</v>
      </c>
      <c r="I7" s="88">
        <f>IF(D20=0,"",D21)</f>
        <v>135</v>
      </c>
      <c r="J7" s="89" t="str">
        <f>IF(D20=0,"","m")</f>
        <v>m</v>
      </c>
      <c r="K7" s="90">
        <f>IF(D20=0,"",D20)</f>
        <v>0.2</v>
      </c>
      <c r="L7" s="29">
        <f>IF(D20=0,"",D12*K7)</f>
        <v>2</v>
      </c>
    </row>
    <row r="8" spans="2:14" ht="12" customHeight="1">
      <c r="B8" s="52" t="s">
        <v>39</v>
      </c>
      <c r="C8" s="91" t="s">
        <v>38</v>
      </c>
      <c r="D8" s="71" t="s">
        <v>60</v>
      </c>
      <c r="E8" s="138"/>
      <c r="F8" s="17"/>
      <c r="G8" s="68" t="s">
        <v>43</v>
      </c>
      <c r="H8" s="68" t="s">
        <v>113</v>
      </c>
      <c r="I8" s="88" t="str" cm="1">
        <f t="array" ref="I8">_xlfn.IFS(AND(G8&lt;&gt;"非削孔",G8&lt;&gt;"無設定"),D22,G8="非削孔",IF(MID(B9,1,3)="土留め","非削孔","箱抜き"),G8="無設定","無設定")</f>
        <v>箱抜き</v>
      </c>
      <c r="J8" s="23" t="str">
        <f>IF(G8="無設定","","m")</f>
        <v>m</v>
      </c>
      <c r="K8" s="69">
        <v>0.5</v>
      </c>
      <c r="L8" s="30">
        <f>D12*K8</f>
        <v>5</v>
      </c>
    </row>
    <row r="9" spans="2:14" ht="12" customHeight="1">
      <c r="B9" s="115" t="s">
        <v>86</v>
      </c>
      <c r="C9" s="91" t="s">
        <v>38</v>
      </c>
      <c r="D9" s="83" t="s">
        <v>51</v>
      </c>
      <c r="E9" s="139" t="str">
        <f>IF(OR(MID(B9,1,3)&lt;&gt;"土留め",D9="なし"),"","腹起し")</f>
        <v/>
      </c>
      <c r="F9" s="140"/>
      <c r="G9" s="68" t="s">
        <v>49</v>
      </c>
      <c r="H9" s="68" t="s">
        <v>114</v>
      </c>
      <c r="I9" s="88" cm="1">
        <f t="array" ref="I9">_xlfn.IFS(AND(G9&lt;&gt;"非削孔",G9&lt;&gt;"無設定"),D22,G9="非削孔","箱抜き",G9="無設定","無設定")</f>
        <v>135</v>
      </c>
      <c r="J9" s="23" t="str">
        <f t="shared" ref="J9:J16" si="0">IF(G9="無設定","","m")</f>
        <v>m</v>
      </c>
      <c r="K9" s="69">
        <v>2.64</v>
      </c>
      <c r="L9" s="30">
        <f>D12*K9</f>
        <v>26.400000000000002</v>
      </c>
    </row>
    <row r="10" spans="2:14" ht="12" customHeight="1">
      <c r="B10" s="114" t="str">
        <f>IF(OR(MID(B9,1,3)&lt;&gt;"土留め",D9="なし"),"",B9&amp;"の種類")</f>
        <v/>
      </c>
      <c r="C10" s="91" t="s">
        <v>38</v>
      </c>
      <c r="D10" s="113" t="s">
        <v>71</v>
      </c>
      <c r="E10" s="122" t="s">
        <v>71</v>
      </c>
      <c r="F10" s="141"/>
      <c r="G10" s="68" t="s">
        <v>49</v>
      </c>
      <c r="H10" s="68" t="s">
        <v>115</v>
      </c>
      <c r="I10" s="88" cm="1">
        <f t="array" ref="I10">_xlfn.IFS(AND(G10&lt;&gt;"非削孔",G10&lt;&gt;"無設定"),D22,G10="非削孔","箱抜き",G10="無設定","無設定")</f>
        <v>135</v>
      </c>
      <c r="J10" s="23" t="str">
        <f t="shared" si="0"/>
        <v>m</v>
      </c>
      <c r="K10" s="69">
        <v>5.36</v>
      </c>
      <c r="L10" s="30">
        <f>D12*K10</f>
        <v>53.6</v>
      </c>
      <c r="N10" s="112"/>
    </row>
    <row r="11" spans="2:14" ht="12" customHeight="1">
      <c r="B11" s="147" t="s">
        <v>50</v>
      </c>
      <c r="C11" s="91" t="s">
        <v>38</v>
      </c>
      <c r="D11" s="83" t="s">
        <v>51</v>
      </c>
      <c r="E11" s="102"/>
      <c r="F11" s="21"/>
      <c r="G11" s="68" t="s">
        <v>48</v>
      </c>
      <c r="H11" s="68"/>
      <c r="I11" s="88" t="str" cm="1">
        <f t="array" ref="I11">_xlfn.IFS(AND(G11&lt;&gt;"非削孔",G11&lt;&gt;"無設定"),D22,G11="非削孔","箱抜き",G11="無設定","無設定")</f>
        <v>無設定</v>
      </c>
      <c r="J11" s="23" t="str">
        <f t="shared" si="0"/>
        <v/>
      </c>
      <c r="K11" s="69">
        <v>0</v>
      </c>
      <c r="L11" s="30">
        <f>D12*K11</f>
        <v>0</v>
      </c>
    </row>
    <row r="12" spans="2:14" ht="12" customHeight="1">
      <c r="B12" s="157" t="s">
        <v>25</v>
      </c>
      <c r="C12" s="158" t="s">
        <v>24</v>
      </c>
      <c r="D12" s="162">
        <v>10</v>
      </c>
      <c r="E12" s="19"/>
      <c r="F12" s="21"/>
      <c r="G12" s="68" t="s">
        <v>48</v>
      </c>
      <c r="H12" s="68"/>
      <c r="I12" s="88" t="str" cm="1">
        <f t="array" ref="I12">_xlfn.IFS(AND(G12&lt;&gt;"非削孔",G12&lt;&gt;"無設定"),D22,G12="非削孔","箱抜き",G12="無設定","無設定")</f>
        <v>無設定</v>
      </c>
      <c r="J12" s="23" t="str">
        <f t="shared" si="0"/>
        <v/>
      </c>
      <c r="K12" s="69">
        <v>0</v>
      </c>
      <c r="L12" s="30">
        <f>D12*K12</f>
        <v>0</v>
      </c>
    </row>
    <row r="13" spans="2:14" ht="12" customHeight="1">
      <c r="B13" s="160" t="str" cm="1">
        <f t="array" ref="B13">"頭部自由長("&amp;_xlfn.IFS(AND(MID(B9,1,3)="土留め",D9="あり"),"腹起し+台座",AND(MID(B9,1,3)="土留め",D9="なし"),"台座なし",AND(MID(B9,1,3)="構造物",D9="あり"),"壁面台座",AND(MID(B9,1,3)="構造物",D9="なし"),"台座なし",AND(MID(B9,1,3)="のり面",D9="あり"),"角度台座＋受圧体",AND(MID(B9,1,3)="のり面",D9="なし"),"受圧体")&amp;")　"&amp;"Lfh"</f>
        <v>頭部自由長(受圧体)　Lfh</v>
      </c>
      <c r="C13" s="155" t="s">
        <v>23</v>
      </c>
      <c r="D13" s="161">
        <v>0.5</v>
      </c>
      <c r="E13" s="21"/>
      <c r="F13" s="21"/>
      <c r="G13" s="68" t="s">
        <v>48</v>
      </c>
      <c r="H13" s="68"/>
      <c r="I13" s="88" t="str" cm="1">
        <f t="array" ref="I13">_xlfn.IFS(AND(G13&lt;&gt;"非削孔",G13&lt;&gt;"無設定"),D22,G13="非削孔","箱抜き",G13="無設定","無設定")</f>
        <v>無設定</v>
      </c>
      <c r="J13" s="23" t="str">
        <f t="shared" si="0"/>
        <v/>
      </c>
      <c r="K13" s="69">
        <v>0</v>
      </c>
      <c r="L13" s="30">
        <f>D12*K13</f>
        <v>0</v>
      </c>
    </row>
    <row r="14" spans="2:14" ht="12" customHeight="1">
      <c r="B14" s="22" t="s">
        <v>108</v>
      </c>
      <c r="C14" s="23" t="s">
        <v>23</v>
      </c>
      <c r="D14" s="47">
        <v>4</v>
      </c>
      <c r="E14" s="21"/>
      <c r="F14" s="21"/>
      <c r="G14" s="68" t="s">
        <v>48</v>
      </c>
      <c r="H14" s="68"/>
      <c r="I14" s="88" t="str" cm="1">
        <f t="array" ref="I14">_xlfn.IFS(AND(G14&lt;&gt;"非削孔",G14&lt;&gt;"無設定"),#REF!,G14="非削孔","箱抜き",G14="無設定","無設定")</f>
        <v>無設定</v>
      </c>
      <c r="J14" s="23" t="str">
        <f t="shared" si="0"/>
        <v/>
      </c>
      <c r="K14" s="69">
        <v>0</v>
      </c>
      <c r="L14" s="30">
        <f>D12*K14</f>
        <v>0</v>
      </c>
    </row>
    <row r="15" spans="2:14" ht="12" customHeight="1">
      <c r="B15" s="157" t="s">
        <v>36</v>
      </c>
      <c r="C15" s="158" t="s">
        <v>23</v>
      </c>
      <c r="D15" s="159">
        <v>4</v>
      </c>
      <c r="E15" s="21"/>
      <c r="F15" s="21"/>
      <c r="G15" s="68" t="s">
        <v>48</v>
      </c>
      <c r="H15" s="68"/>
      <c r="I15" s="88" t="str" cm="1">
        <f t="array" ref="I15">_xlfn.IFS(AND(G15&lt;&gt;"非削孔",G15&lt;&gt;"無設定"),D22,G15="非削孔","箱抜き",G15="無設定","無設定")</f>
        <v>無設定</v>
      </c>
      <c r="J15" s="23" t="str">
        <f t="shared" si="0"/>
        <v/>
      </c>
      <c r="K15" s="69">
        <v>0</v>
      </c>
      <c r="L15" s="30">
        <f>D12*K15</f>
        <v>0</v>
      </c>
    </row>
    <row r="16" spans="2:14" ht="12" customHeight="1">
      <c r="B16" s="154" t="s">
        <v>69</v>
      </c>
      <c r="C16" s="155" t="s">
        <v>23</v>
      </c>
      <c r="D16" s="156" cm="1">
        <f t="array" ref="D16">IF(D7="　","──",_xlfn.IFS(AND(MID(D7,4,1)="5",1*MID(D7,6,2)&lt;8),1,AND(MID(D7,4,1)="5",1*MID(D7,6,2)&gt;7),1.5,AND(MID(D7,4,1)="6",1*MID(D7,6,2)&lt;6),1,AND(MID(D7,4,1)="6",1*MID(D7,6,2)&gt;5),1.5))</f>
        <v>1.5</v>
      </c>
      <c r="E16" s="21"/>
      <c r="G16" s="68" t="s">
        <v>48</v>
      </c>
      <c r="H16" s="68"/>
      <c r="I16" s="88" t="str" cm="1">
        <f t="array" ref="I16">_xlfn.IFS(AND(G16&lt;&gt;"非削孔",G16&lt;&gt;"無設定"),D22,G16="非削孔","箱抜き",G16="無設定","無設定")</f>
        <v>無設定</v>
      </c>
      <c r="J16" s="23" t="str">
        <f t="shared" si="0"/>
        <v/>
      </c>
      <c r="K16" s="69">
        <v>0</v>
      </c>
      <c r="L16" s="30">
        <f>D12*K16</f>
        <v>0</v>
      </c>
    </row>
    <row r="17" spans="2:14" ht="12" customHeight="1">
      <c r="B17" s="22" t="s">
        <v>125</v>
      </c>
      <c r="C17" s="23" t="s">
        <v>35</v>
      </c>
      <c r="D17" s="84">
        <f>IF(D7="　","──",0.2)</f>
        <v>0.2</v>
      </c>
      <c r="E17" s="120"/>
      <c r="F17" s="19"/>
      <c r="G17" s="99" t="str" cm="1">
        <f t="array" ref="G17">INDEX(G8:I16,MATCH("無設定",G8:G16,0)-1,MATCH(G6,G6:I6,0))</f>
        <v>軟　岩</v>
      </c>
      <c r="H17" s="100" t="str" cm="1">
        <f t="array" ref="H17">INDEX(G8:I16,MATCH("無設定",G8:G16,0)-1,MATCH(H6,G6:I6,0))&amp;"　(先端長 L2d)"</f>
        <v>風化岩 CL　(先端長 L2d)</v>
      </c>
      <c r="I17" s="88" cm="1">
        <f t="array" ref="I17">INDEX(G8:I16,MATCH("無設定",G8:G16,0)-1,MATCH(I6,G6:I6,0))</f>
        <v>135</v>
      </c>
      <c r="J17" s="23" t="str">
        <f t="shared" ref="J17" si="1">IF(G17="無設定","","m")</f>
        <v>m</v>
      </c>
      <c r="K17" s="98">
        <f>D19</f>
        <v>0.25</v>
      </c>
      <c r="L17" s="78">
        <f>IFERROR(D12*K17,"")</f>
        <v>2.5</v>
      </c>
    </row>
    <row r="18" spans="2:14" ht="12" customHeight="1">
      <c r="B18" s="6" t="s">
        <v>126</v>
      </c>
      <c r="C18" s="23" t="s">
        <v>23</v>
      </c>
      <c r="D18" s="60">
        <f>IF(D7="　","──",SUM(D14:D16))</f>
        <v>9.5</v>
      </c>
      <c r="E18" s="121"/>
      <c r="F18" s="19"/>
      <c r="G18" s="72"/>
      <c r="H18" s="75" t="s">
        <v>124</v>
      </c>
      <c r="I18" s="103"/>
      <c r="J18" s="18" t="s">
        <v>23</v>
      </c>
      <c r="K18" s="74">
        <f>SUMIFS(K7:K17,G7:G17,"&lt;&gt;非削孔",G7:G17,"&lt;&gt;無設定")</f>
        <v>8.25</v>
      </c>
      <c r="L18" s="95">
        <f>SUMIFS(L7:L17,G7:G17,"&lt;&gt;非削孔",G7:G17,"&lt;&gt;無設定")</f>
        <v>82.5</v>
      </c>
      <c r="N18" s="144"/>
    </row>
    <row r="19" spans="2:14" ht="12" customHeight="1">
      <c r="B19" s="25" t="s">
        <v>127</v>
      </c>
      <c r="C19" s="26" t="s">
        <v>23</v>
      </c>
      <c r="D19" s="27">
        <f>IF(D7="　","──",$N$1)</f>
        <v>0.25</v>
      </c>
      <c r="E19" s="121"/>
      <c r="F19" s="19"/>
      <c r="G19" s="73"/>
      <c r="H19" s="76" t="s">
        <v>47</v>
      </c>
      <c r="I19" s="104"/>
      <c r="J19" s="79" t="s">
        <v>46</v>
      </c>
      <c r="K19" s="77" t="str">
        <f>IF(D7="　","",IF(SUM(D13:D15,D20,D19)=K18+SUMIFS(K7:K17,G7:G17,"=非削孔"),"OK","NG"))</f>
        <v>OK</v>
      </c>
      <c r="L19" s="145" t="str">
        <f>IF(K19&lt;&gt;"NG","──",K18+SUMIFS(K7:K17,G7:G17,"=非削孔")-SUM(D13:D15,D20,D19))</f>
        <v>──</v>
      </c>
    </row>
    <row r="20" spans="2:14" ht="12" customHeight="1">
      <c r="B20" s="22" t="s">
        <v>73</v>
      </c>
      <c r="C20" s="23" t="s">
        <v>35</v>
      </c>
      <c r="D20" s="85">
        <v>0.2</v>
      </c>
      <c r="E20" s="123"/>
      <c r="F20" s="19"/>
      <c r="G20" s="94" t="s">
        <v>58</v>
      </c>
      <c r="H20" s="252" t="s">
        <v>110</v>
      </c>
      <c r="I20" s="253"/>
      <c r="J20" s="253"/>
      <c r="K20" s="253"/>
      <c r="L20" s="254"/>
    </row>
    <row r="21" spans="2:14" ht="12" customHeight="1">
      <c r="B21" s="22" t="str">
        <f>IF(D7="　","",IF(D20=0,"","頭部背面管削孔径　Dh"))</f>
        <v>頭部背面管削孔径　Dh</v>
      </c>
      <c r="C21" s="23" t="str">
        <f>IF(D7="　","",IF(D20=0,"","mm"))</f>
        <v>mm</v>
      </c>
      <c r="D21" s="93" cm="1">
        <f t="array" ref="D21">IF(D7="　","",IF(D20=0,"",IF(MID(D7,4,1)="5",_xlfn.IFS(VALUE(MID(D7,6,2))&lt;7,115,VALUE(MID(D7,6,2))&gt;6,135),"未設定")))</f>
        <v>135</v>
      </c>
      <c r="E21" s="121"/>
      <c r="F21" s="1"/>
      <c r="G21" s="8"/>
      <c r="H21" s="8"/>
      <c r="I21" s="102"/>
    </row>
    <row r="22" spans="2:14" ht="12" customHeight="1">
      <c r="B22" s="95" t="s">
        <v>123</v>
      </c>
      <c r="C22" s="18" t="s">
        <v>32</v>
      </c>
      <c r="D22" s="153">
        <v>135</v>
      </c>
      <c r="E22" s="151"/>
      <c r="F22" s="1"/>
      <c r="G22" s="8"/>
      <c r="H22" s="8"/>
      <c r="I22" s="102"/>
    </row>
    <row r="23" spans="2:14" ht="12" customHeight="1">
      <c r="B23" s="25" t="s">
        <v>122</v>
      </c>
      <c r="C23" s="26" t="s">
        <v>32</v>
      </c>
      <c r="D23" s="152" cm="1">
        <f t="array" ref="D23">IF(D7="　","──",IF(D11="なし",IF(MID(D7,4,1)="5",_xlfn.IFS(VALUE(MID(D7,6,2))&lt;6,90,VALUE(MID(D7,6,2))&lt;9,115,VALUE(MID(D7,6,2))&gt;8,135),_xlfn.IFS(VALUE(MID(D7,6,2))&lt;4,90,VALUE(MID(D7,6,2))&lt;10,135,VALUE(MID(D7,6,2))&gt;9,146)),IF(MID(D7,4,1)="5",_xlfn.IFS(VALUE(MID(D7,6,2))&lt;3,90,VALUE(MID(D7,6,2))&lt;7,115,VALUE(MID(D7,6,2))&lt;10,135,VALUE(MID(D7,6,2))&gt;9,146),_xlfn.IFS(VALUE(MID(D7,6,2))&lt;3,90,VALUE(MID(D7,6,2))&lt;4,115,VALUE(MID(D7,6,2))&lt;6,135,VALUE(MID(D7,6,2))&lt;10,146,VALUE(MID(D7,6,2))&gt;9,165))))</f>
        <v>135</v>
      </c>
      <c r="E23" s="117"/>
      <c r="F23" s="1"/>
      <c r="G23" s="8"/>
      <c r="H23" s="8"/>
      <c r="I23" s="102"/>
    </row>
    <row r="24" spans="2:14" ht="12" customHeight="1">
      <c r="E24" s="117"/>
      <c r="F24" s="1"/>
      <c r="G24" s="8"/>
      <c r="H24" s="8"/>
      <c r="I24" s="102"/>
    </row>
    <row r="25" spans="2:14" ht="12" customHeight="1">
      <c r="B25" s="15" t="str">
        <f>"■"&amp;MID(B2,2,13)</f>
        <v>■長期：EHDアンカー数量表</v>
      </c>
      <c r="C25" s="3"/>
      <c r="D25" s="1"/>
      <c r="E25" s="1"/>
      <c r="F25" s="1"/>
      <c r="G25" s="8"/>
      <c r="H25" s="8"/>
      <c r="I25" s="102"/>
    </row>
    <row r="26" spans="2:14" ht="12" customHeight="1">
      <c r="B26" s="2" t="s">
        <v>17</v>
      </c>
      <c r="C26" s="43"/>
      <c r="D26" s="134"/>
      <c r="E26" s="61" t="s">
        <v>78</v>
      </c>
      <c r="F26" s="135"/>
      <c r="G26" s="16"/>
      <c r="H26" s="61" t="s">
        <v>42</v>
      </c>
      <c r="I26" s="97"/>
      <c r="J26" s="2" t="s">
        <v>21</v>
      </c>
      <c r="K26" s="49" t="s">
        <v>29</v>
      </c>
      <c r="L26" s="2" t="s">
        <v>28</v>
      </c>
    </row>
    <row r="27" spans="2:14" ht="12" customHeight="1">
      <c r="B27" s="4" t="s">
        <v>19</v>
      </c>
      <c r="C27" s="39" t="str">
        <f>IF(D7="　","",D7&amp;" ("&amp;MID(D7,6,2)&amp;IF(MID(D7,4,1)="5","φ12.7","φ15.2")&amp;")")</f>
        <v>EHD5-12 (12φ12.7)</v>
      </c>
      <c r="D27" s="32"/>
      <c r="E27" s="32"/>
      <c r="F27" s="33"/>
      <c r="G27" s="55" t="str">
        <f>"W=(テンドン長+先端長0.2m)×鋼線本数×"&amp;IF(MID(D7,4,1)="5","0.774","1.101")&amp;"kg/m"</f>
        <v>W=(テンドン長+先端長0.2m)×鋼線本数×0.774kg/m</v>
      </c>
      <c r="H27" s="62"/>
      <c r="I27" s="105"/>
      <c r="J27" s="5" t="s">
        <v>11</v>
      </c>
      <c r="K27" s="29">
        <f>IF(D7="　","",MROUND((D18+D17)*MID(D7,6,2)*IF(MID(D7,4,1)="5","0.774","1.101"),0.01))</f>
        <v>90.09</v>
      </c>
      <c r="L27" s="29">
        <f>IFERROR(D12*K27,"")</f>
        <v>900.90000000000009</v>
      </c>
      <c r="M27" s="13"/>
    </row>
    <row r="28" spans="2:14" ht="12" customHeight="1">
      <c r="B28" s="6" t="s">
        <v>20</v>
      </c>
      <c r="C28" s="34"/>
      <c r="D28" s="35"/>
      <c r="E28" s="35"/>
      <c r="F28" s="36"/>
      <c r="G28" s="56" t="s">
        <v>33</v>
      </c>
      <c r="H28" s="63"/>
      <c r="I28" s="106"/>
      <c r="J28" s="7" t="s">
        <v>12</v>
      </c>
      <c r="K28" s="30">
        <f>IF(D7="　","",MROUND(D18,0.1))</f>
        <v>9.5</v>
      </c>
      <c r="L28" s="30">
        <f>IFERROR(D12*K28,"")</f>
        <v>95</v>
      </c>
    </row>
    <row r="29" spans="2:14" ht="12" customHeight="1">
      <c r="B29" s="6" t="s">
        <v>0</v>
      </c>
      <c r="C29" s="34" t="str">
        <f>IF(D7="　","","16/20")</f>
        <v>16/20</v>
      </c>
      <c r="D29" s="35"/>
      <c r="E29" s="35"/>
      <c r="F29" s="36"/>
      <c r="G29" s="56" t="s">
        <v>33</v>
      </c>
      <c r="H29" s="63"/>
      <c r="I29" s="106"/>
      <c r="J29" s="7" t="s">
        <v>12</v>
      </c>
      <c r="K29" s="30">
        <f>IF(D7="　","",MROUND(D18,0.1))</f>
        <v>9.5</v>
      </c>
      <c r="L29" s="30">
        <f>IFERROR(D12*K29,"")</f>
        <v>95</v>
      </c>
    </row>
    <row r="30" spans="2:14" ht="12" customHeight="1">
      <c r="B30" s="6" t="s">
        <v>1</v>
      </c>
      <c r="C30" s="34" t="str" cm="1">
        <f t="array" ref="C30">IF(D7="　","",IF(MID(D7,4,1)="5",_xlfn.IFS(VALUE(MID(D7,6,2))&lt;5,"5-4",VALUE(MID(D7,6,2))&lt;8,"5-7",VALUE(MID(D7,6,2))&lt;10,"5-9",VALUE(MID(D7,6,2))&gt;9,"5-12"),_xlfn.IFS(VALUE(MID(D7,6,2))&lt;8,"6-7",VALUE(MID(D7,6,2))&lt;13,"6-12",VALUE(MID(D7,6,2))&gt;12,"6-19"))&amp;"用、ポリプロピレン")</f>
        <v>5-12用、ポリプロピレン</v>
      </c>
      <c r="D30" s="35"/>
      <c r="E30" s="35"/>
      <c r="F30" s="36"/>
      <c r="G30" s="52" t="str">
        <f>"N=1"</f>
        <v>N=1</v>
      </c>
      <c r="H30" s="64"/>
      <c r="I30" s="53"/>
      <c r="J30" s="7" t="s">
        <v>13</v>
      </c>
      <c r="K30" s="130" t="str">
        <f>IF(D7="　","",MID(G30,3,2))</f>
        <v>1</v>
      </c>
      <c r="L30" s="30">
        <f>IFERROR(D12*K30,"")</f>
        <v>10</v>
      </c>
    </row>
    <row r="31" spans="2:14" ht="12" customHeight="1">
      <c r="B31" s="6" t="s">
        <v>2</v>
      </c>
      <c r="C31" s="34" t="str" cm="1">
        <f t="array" ref="C31">IF(D7="　","",IF(MID(D7,4,1)="5",_xlfn.IFS(VALUE(MID(D7,6,2))&lt;6,"5-5",VALUE(MID(D7,6,2))&lt;9,"5-8",VALUE(MID(D7,6,2))&gt;8,"5-12"),_xlfn.IFS(VALUE(MID(D7,6,2))&lt;13,"6-12",VALUE(MID(D7,6,2))&lt;17,"6-16",VALUE(MID(D7,6,2))&gt;16,"6-20"))&amp;"用、ポリプロピレン")</f>
        <v>5-12用、ポリプロピレン</v>
      </c>
      <c r="D31" s="35"/>
      <c r="E31" s="35"/>
      <c r="F31" s="36"/>
      <c r="G31" s="127" t="s">
        <v>120</v>
      </c>
      <c r="H31" s="63"/>
      <c r="I31" s="106"/>
      <c r="J31" s="7" t="s">
        <v>13</v>
      </c>
      <c r="K31" s="6">
        <f>IF(D7="　","",MROUND((D15-0.5)/1,1))</f>
        <v>4</v>
      </c>
      <c r="L31" s="30">
        <f>IFERROR(D12*K31,"")</f>
        <v>40</v>
      </c>
    </row>
    <row r="32" spans="2:14" ht="12" customHeight="1">
      <c r="B32" s="6" t="s">
        <v>3</v>
      </c>
      <c r="C32" s="34" t="str">
        <f>IF(D7="　","","AB350")</f>
        <v>AB350</v>
      </c>
      <c r="D32" s="35"/>
      <c r="E32" s="35"/>
      <c r="F32" s="36"/>
      <c r="G32" s="127" t="s">
        <v>34</v>
      </c>
      <c r="H32" s="63"/>
      <c r="I32" s="106"/>
      <c r="J32" s="7" t="s">
        <v>14</v>
      </c>
      <c r="K32" s="6">
        <f>IF(D7="　","",2*K31)</f>
        <v>8</v>
      </c>
      <c r="L32" s="30">
        <f>IFERROR(D12*K32,"")</f>
        <v>80</v>
      </c>
    </row>
    <row r="33" spans="2:14" ht="12" customHeight="1">
      <c r="B33" s="6" t="s">
        <v>4</v>
      </c>
      <c r="C33" s="34"/>
      <c r="D33" s="35"/>
      <c r="E33" s="35"/>
      <c r="F33" s="36"/>
      <c r="G33" s="127" t="str">
        <f>IF(D7="　","","L=((自由長+緊張余長)÷@1.0m)×ﾃﾝﾄﾞﾝ係数"&amp;IF(MID(D7,4,1)="5",_xlfn.IFS(VALUE(MID(D7,6,2))=1,"0.6",VALUE(MID(D7,6,2))&lt;5,"1.0",VALUE(MID(D7,6,2))&lt;8,"1.1",VALUE(MID(D7,6,2))&gt;7,"1.2"),_xlfn.IFS(VALUE(MID(D7,6,2))=1,"0.7",VALUE(MID(D7,6,2))&lt;5,"1.1",VALUE(MID(D7,6,2))&lt;8,"1.2",VALUE(MID(D7,6,2))&gt;7,"1.3")))</f>
        <v>L=((自由長+緊張余長)÷@1.0m)×ﾃﾝﾄﾞﾝ係数1.2</v>
      </c>
      <c r="H33" s="63"/>
      <c r="I33" s="106"/>
      <c r="J33" s="7" t="s">
        <v>12</v>
      </c>
      <c r="K33" s="136">
        <f>IF(D7="　","",MROUND((SUM(D14,D13:D16))/1*RIGHT(G33, 3),0.1))</f>
        <v>16.8</v>
      </c>
      <c r="L33" s="30">
        <f>IFERROR(D12*K33,"")</f>
        <v>168</v>
      </c>
    </row>
    <row r="34" spans="2:14" ht="12" customHeight="1">
      <c r="B34" s="6" t="str">
        <f>"ヘッドキャップ"&amp;IF(LEFT(E7,2)="窓付"," (目視型)","")</f>
        <v>ヘッドキャップ</v>
      </c>
      <c r="C34" s="34" t="str" cm="1">
        <f t="array" ref="C34">IF(D7="　","",IF(MID(D7,4,1)="5",_xlfn.IFS(VALUE(MID(D7,6,2))&lt;5,"5-4",VALUE(MID(D7,6,2))&lt;8,"5-7",VALUE(MID(D7,6,2))&gt;7,"5-12"),"未設定")&amp;"用RN型、AC4C相当"&amp;IF(D8="防食Ⅱ","","、防食：タケコート処理"))</f>
        <v>5-12用RN型、AC4C相当</v>
      </c>
      <c r="D34" s="44"/>
      <c r="E34" s="44"/>
      <c r="F34" s="45"/>
      <c r="G34" s="52" t="str">
        <f>"N=1"</f>
        <v>N=1</v>
      </c>
      <c r="H34" s="64"/>
      <c r="I34" s="53"/>
      <c r="J34" s="7" t="s">
        <v>13</v>
      </c>
      <c r="K34" s="130" t="str">
        <f>IF(D7="　","",MID(G34,3,2))</f>
        <v>1</v>
      </c>
      <c r="L34" s="30">
        <f>IFERROR(D12*K34,"")</f>
        <v>10</v>
      </c>
    </row>
    <row r="35" spans="2:14" ht="12" customHeight="1">
      <c r="B35" s="6" t="s">
        <v>5</v>
      </c>
      <c r="C35" s="34" t="str" cm="1">
        <f t="array" ref="C35">IF(D7="　","",IF(MID(D7,4,1)="5",_xlfn.IFS(VALUE(MID(D7,6,2))&lt;3,"5-2",VALUE(MID(D7,6,2))&lt;4,"5-3",VALUE(MID(D7,6,2))&lt;5,"5-4",VALUE(MID(D7,6,2))&lt;8,"5-7",VALUE(MID(D7,6,2))&lt;10,"5-9",VALUE(MID(D7,6,2))&gt;9,"5-12"),_xlfn.IFS(VALUE(MID(D7,6,2))&lt;8,"6-7",VALUE(MID(D7,6,2))&gt;7,"6-12"))&amp;"用、S45C相当")</f>
        <v>5-12用、S45C相当</v>
      </c>
      <c r="D35" s="35"/>
      <c r="E35" s="35"/>
      <c r="F35" s="36"/>
      <c r="G35" s="52" t="str">
        <f>"N=1"</f>
        <v>N=1</v>
      </c>
      <c r="H35" s="64"/>
      <c r="I35" s="53"/>
      <c r="J35" s="7" t="s">
        <v>13</v>
      </c>
      <c r="K35" s="130" t="str">
        <f>IF(D7="　","",MID(G35,3,2))</f>
        <v>1</v>
      </c>
      <c r="L35" s="30">
        <f>IFERROR(D12*K35,"")</f>
        <v>10</v>
      </c>
    </row>
    <row r="36" spans="2:14" ht="12" customHeight="1">
      <c r="B36" s="6" t="s">
        <v>6</v>
      </c>
      <c r="C36" s="34" t="str" cm="1">
        <f t="array" ref="C36">IF(D7="　","",IF(MID(D7,4,1)="5",_xlfn.IFS(VALUE(MID(D7,6,2))&lt;3,"5-2",VALUE(MID(D7,6,2))&lt;4,"5-3",VALUE(MID(D7,6,2))&lt;5,"5-4",VALUE(MID(D7,6,2))&lt;8,"5-7",VALUE(MID(D7,6,2))&lt;10,"5-9",VALUE(MID(D7,6,2))&gt;9,"5-12"),_xlfn.IFS(VALUE(MID(D7,6,2))&lt;8,"6-7",VALUE(MID(D7,6,2))&gt;7,"6-12"))&amp;"用、S45C相当")</f>
        <v>5-12用、S45C相当</v>
      </c>
      <c r="D36" s="35"/>
      <c r="E36" s="35"/>
      <c r="F36" s="36"/>
      <c r="G36" s="52" t="str">
        <f>"N=1"</f>
        <v>N=1</v>
      </c>
      <c r="H36" s="64"/>
      <c r="I36" s="53"/>
      <c r="J36" s="7" t="s">
        <v>13</v>
      </c>
      <c r="K36" s="130" t="str">
        <f>IF(D7="　","",MID(G36,3,2))</f>
        <v>1</v>
      </c>
      <c r="L36" s="30">
        <f>IFERROR(D12*K36,"")</f>
        <v>10</v>
      </c>
    </row>
    <row r="37" spans="2:14" ht="12" customHeight="1">
      <c r="B37" s="6" t="s">
        <v>7</v>
      </c>
      <c r="C37" s="34" t="str">
        <f>IF(D7="　","",D7&amp;"用、SCM415相当")</f>
        <v>EHD5-12用、SCM415相当</v>
      </c>
      <c r="D37" s="35"/>
      <c r="E37" s="35"/>
      <c r="F37" s="36"/>
      <c r="G37" s="52" t="str">
        <f>IF(D7="　","","N="&amp;VALUE(MID(D7,6,2)))</f>
        <v>N=12</v>
      </c>
      <c r="H37" s="64"/>
      <c r="I37" s="53"/>
      <c r="J37" s="7" t="s">
        <v>15</v>
      </c>
      <c r="K37" s="130" t="str">
        <f>IF(D7="　","",MID(G37,3,2))</f>
        <v>12</v>
      </c>
      <c r="L37" s="30">
        <f>IFERROR(D12*K37,"")</f>
        <v>120</v>
      </c>
    </row>
    <row r="38" spans="2:14" ht="12" customHeight="1">
      <c r="B38" s="6" t="s">
        <v>18</v>
      </c>
      <c r="C38" s="96" t="str" cm="1">
        <f t="array" ref="C38">IF(D7="　","",IF(MID(D7,4,1)="5",_xlfn.IFS(VALUE(MID(D7,6,2))&lt;3,"5-2",VALUE(MID(D7,6,2))&lt;4,"5-3",VALUE(MID(D7,6,2))&lt;5,"5-4",VALUE(MID(D7,6,2))&lt;8,"5-7",VALUE(MID(D7,6,2))&lt;10,"5-9",VALUE(MID(D7,6,2))&gt;9,"5-12"),_xlfn.IFS(VALUE(MID(D7,6,2))&lt;4,"6-3",VALUE(MID(D7,6,2))&lt;8,"6-7",VALUE(MID(D7,6,2))&gt;7,"6-12"))&amp;"用、SS400・STKM13A相当、防食："&amp;IF(D8="防食Ⅱ","亜鉛めっき処理","ｱﾙﾐﾅｲｽﾞ処理"))</f>
        <v>5-12用、SS400・STKM13A相当、防食：亜鉛めっき処理</v>
      </c>
      <c r="D38" s="35"/>
      <c r="E38" s="35"/>
      <c r="F38" s="36"/>
      <c r="G38" s="52" t="str">
        <f>"N=1"</f>
        <v>N=1</v>
      </c>
      <c r="H38" s="64"/>
      <c r="I38" s="53"/>
      <c r="J38" s="7" t="s">
        <v>16</v>
      </c>
      <c r="K38" s="130" t="str">
        <f>IF(D7="　","",MID(G38,3,2))</f>
        <v>1</v>
      </c>
      <c r="L38" s="30">
        <f>IFERROR(D12*K38,"")</f>
        <v>10</v>
      </c>
    </row>
    <row r="39" spans="2:14" ht="12" customHeight="1">
      <c r="B39" s="6" t="s">
        <v>8</v>
      </c>
      <c r="C39" s="34" t="str">
        <f>IF(D7="　","",D7&amp;"用、NBR45相当")</f>
        <v>EHD5-12用、NBR45相当</v>
      </c>
      <c r="D39" s="35"/>
      <c r="E39" s="35"/>
      <c r="F39" s="36"/>
      <c r="G39" s="52" t="str">
        <f>"N=1"</f>
        <v>N=1</v>
      </c>
      <c r="H39" s="64"/>
      <c r="I39" s="53"/>
      <c r="J39" s="7" t="s">
        <v>13</v>
      </c>
      <c r="K39" s="130" t="str">
        <f>IF(D7="　","",MID(G39,3,2))</f>
        <v>1</v>
      </c>
      <c r="L39" s="30">
        <f>IFERROR(D12*K39,"")</f>
        <v>10</v>
      </c>
    </row>
    <row r="40" spans="2:14" ht="12" customHeight="1">
      <c r="B40" s="6" t="s">
        <v>9</v>
      </c>
      <c r="C40" s="34" t="str">
        <f>IF(D7="　","","EHD"&amp;IF(MID(D7,4,1)="5",_xlfn.IFS(VALUE(MID(D7,6,2))=3,"5-3",VALUE(MID(D7,6,2))&lt;5,"5-4",VALUE(MID(D7,6,2))&lt;8,"5-7",VALUE(MID(D7,6,2))&gt;7,"5-12"),_xlfn.IFS(VALUE(MID(D7,6,2))=3,"6-3",VALUE(MID(D7,6,2))&lt;5,"6-4",VALUE(MID(D7,6,2))&lt;8,"6-7",VALUE(MID(D7,6,2))&gt;7,"6-12"))&amp;"用、ポリエチレン")</f>
        <v>EHD5-12用、ポリエチレン</v>
      </c>
      <c r="D40" s="35"/>
      <c r="E40" s="35"/>
      <c r="F40" s="36"/>
      <c r="G40" s="52" t="str">
        <f>"N=1"</f>
        <v>N=1</v>
      </c>
      <c r="H40" s="64"/>
      <c r="I40" s="53"/>
      <c r="J40" s="7" t="s">
        <v>13</v>
      </c>
      <c r="K40" s="130" t="str">
        <f>IF(D7="　","",MID(G40,3,2))</f>
        <v>1</v>
      </c>
      <c r="L40" s="30">
        <f>IFERROR(D12*K40,"")</f>
        <v>10</v>
      </c>
    </row>
    <row r="41" spans="2:14" ht="12" customHeight="1">
      <c r="B41" s="6" t="s">
        <v>10</v>
      </c>
      <c r="C41" s="34" t="str">
        <f>IF(D7="　","","PCコート")</f>
        <v>PCコート</v>
      </c>
      <c r="D41" s="35"/>
      <c r="E41" s="35"/>
      <c r="F41" s="36"/>
      <c r="G41" s="149" t="str" cm="1">
        <f t="array" ref="G41">IF(D7="　","","W="&amp;IF(MID(D7,4,1)="5",_xlfn.IFS(VALUE(MID(D7,6,2))&lt;4,2,VALUE(MID(D7,6,2))&lt;5,2,VALUE(MID(D7,6,2))&lt;8,2.7,VALUE(MID(D7,6,2))&gt;7,5),_xlfn.IFS(VALUE(MID(D7,6,2))=1,2,VALUE(MID(D7,6,2))&lt;3,2,VALUE(MID(D7,6,2))&lt;5,2.7,VALUE(MID(D7,6,2))&lt;8,5,VALUE(MID(D7,6,2))&gt;7,12.3)))</f>
        <v>W=5</v>
      </c>
      <c r="H41" s="80"/>
      <c r="I41" s="81"/>
      <c r="J41" s="7" t="s">
        <v>11</v>
      </c>
      <c r="K41" s="132" t="str">
        <f>IF(D7="　","",MID(G41,3,4))</f>
        <v>5</v>
      </c>
      <c r="L41" s="30">
        <f>IFERROR(D12*K41,"")</f>
        <v>50</v>
      </c>
      <c r="N41" s="13"/>
    </row>
    <row r="42" spans="2:14" ht="12" customHeight="1">
      <c r="B42" s="6" t="str">
        <f>IF(D9="なし","",B9)</f>
        <v/>
      </c>
      <c r="C42" s="56" t="str" cm="1">
        <f t="array" ref="C42">IF(D7="　","",IF(D9="なし","",_xlfn.IFS(MID(B9,1,3)="のり面",_xlfn.IFS(VALUE(MID(D7,6,2))&lt;5,"ST170",VALUE(MID(D7,6,2))&lt;8,"ST200",VALUE(MID(D7,6,2))&lt;13,"ST220")&amp;"、FCD450相当",OR(MID(B9,1,3)="構造物",MID(B9,1,3)="土留め"),D7&amp;"用"&amp;IF(OR(MID(B9,1,3)="構造物",D10="　"),"",D10&amp;"/"&amp;E10))&amp;"、防食："&amp;IF(D8="防食Ⅱ","亜鉛めっき処理","ｱﾙﾐﾅｲｽﾞ処理")))</f>
        <v/>
      </c>
      <c r="D42" s="35"/>
      <c r="E42" s="35"/>
      <c r="F42" s="36"/>
      <c r="G42" s="52" t="str">
        <f>IF(D9="なし","","N=1")</f>
        <v/>
      </c>
      <c r="H42" s="64"/>
      <c r="I42" s="53"/>
      <c r="J42" s="7" t="s">
        <v>26</v>
      </c>
      <c r="K42" s="130" t="str">
        <f>IF(D7="　","",MID(G42,3,2))</f>
        <v/>
      </c>
      <c r="L42" s="30" t="str">
        <f>IF(K42="","",D12*K42)</f>
        <v/>
      </c>
    </row>
    <row r="43" spans="2:14" ht="12" customHeight="1">
      <c r="B43" s="6" t="str">
        <f>IF(D11="なし","","フリーパッカー注入ホース")</f>
        <v/>
      </c>
      <c r="C43" s="34" t="str">
        <f>IF(OR(D7="　",B43=""),"","16/20")</f>
        <v/>
      </c>
      <c r="D43" s="35"/>
      <c r="E43" s="35"/>
      <c r="F43" s="36"/>
      <c r="G43" s="56" t="str">
        <f>IF(B43="","","L=自由長+余長")</f>
        <v/>
      </c>
      <c r="H43" s="63"/>
      <c r="I43" s="106"/>
      <c r="J43" s="7" t="s">
        <v>12</v>
      </c>
      <c r="K43" s="30" t="str">
        <f>IF(D7="　","",IF(B43="","",MROUND(D14+D16,0.1)))</f>
        <v/>
      </c>
      <c r="L43" s="30" t="str">
        <f>IF(K43="","",D12*K43)</f>
        <v/>
      </c>
    </row>
    <row r="44" spans="2:14" ht="12" customHeight="1">
      <c r="B44" s="9" t="str">
        <f>IF(D11="なし","","フリーパッカー")</f>
        <v/>
      </c>
      <c r="C44" s="52" t="str" cm="1">
        <f t="array" ref="C44">IF(OR(D7="　",B43=""),"",_xlfn.IFS(D22=90,"PA-170",D22=115,"PA-200",D22&lt;147,"PA-240",D22&gt;147,"PA-350"))</f>
        <v/>
      </c>
      <c r="D44" s="35"/>
      <c r="E44" s="35"/>
      <c r="F44" s="36"/>
      <c r="G44" s="57" t="str">
        <f>IF(B44="","","L=自由長+0.5m")</f>
        <v/>
      </c>
      <c r="H44" s="65"/>
      <c r="I44" s="107"/>
      <c r="J44" s="10" t="s">
        <v>12</v>
      </c>
      <c r="K44" s="30" t="str">
        <f>IF(D7="　","",IF(B44="","",MROUND(K8+0.5,0.1)))</f>
        <v/>
      </c>
      <c r="L44" s="30" t="str">
        <f>IF(K44="","",D12*K44)</f>
        <v/>
      </c>
    </row>
    <row r="45" spans="2:14" ht="12" customHeight="1">
      <c r="B45" s="11" t="str">
        <f>IF(D11="なし","","パッカー取付加工")</f>
        <v/>
      </c>
      <c r="C45" s="42"/>
      <c r="D45" s="37"/>
      <c r="E45" s="37"/>
      <c r="F45" s="38"/>
      <c r="G45" s="131" t="str">
        <f>IF(B45="","","N=1")</f>
        <v/>
      </c>
      <c r="H45" s="66"/>
      <c r="I45" s="54"/>
      <c r="J45" s="12" t="s">
        <v>27</v>
      </c>
      <c r="K45" s="133" t="str">
        <f>IF(D7="　","",MID(G45,3,2))</f>
        <v/>
      </c>
      <c r="L45" s="11" t="str">
        <f>IF(K45="","",D12*K45)</f>
        <v/>
      </c>
    </row>
    <row r="46" spans="2:14" ht="12" customHeight="1">
      <c r="B46" s="14" t="s">
        <v>30</v>
      </c>
      <c r="C46" s="43" t="s">
        <v>31</v>
      </c>
      <c r="D46" s="40"/>
      <c r="E46" s="40"/>
      <c r="F46" s="41"/>
      <c r="G46" s="59" t="s">
        <v>56</v>
      </c>
      <c r="H46" s="67"/>
      <c r="I46" s="108"/>
      <c r="J46" s="2" t="s">
        <v>55</v>
      </c>
      <c r="K46" s="31">
        <f>IFERROR(MROUND(0.25*PI()*(0.001*D22)^2*(D14+D15+D20+D19)*(1+2.2),0.01),"")</f>
        <v>0.39</v>
      </c>
      <c r="L46" s="31">
        <f>IFERROR(D12*K46,"")</f>
        <v>3.9000000000000004</v>
      </c>
    </row>
    <row r="49" spans="2:12" ht="12" customHeight="1">
      <c r="B49" s="251" t="s">
        <v>88</v>
      </c>
      <c r="C49" s="251"/>
      <c r="D49" s="251"/>
    </row>
    <row r="50" spans="2:12" ht="12" customHeight="1">
      <c r="B50" s="15" t="s">
        <v>111</v>
      </c>
      <c r="C50" s="15"/>
      <c r="D50" s="1"/>
      <c r="E50" s="1"/>
      <c r="F50" s="1"/>
      <c r="I50" s="119"/>
      <c r="K50" s="118"/>
    </row>
    <row r="51" spans="2:12" ht="12" customHeight="1">
      <c r="B51" s="111" t="s">
        <v>118</v>
      </c>
      <c r="C51" s="3"/>
      <c r="D51" s="1"/>
      <c r="E51" s="1"/>
      <c r="F51" s="1"/>
      <c r="G51" s="8"/>
      <c r="H51" s="8"/>
      <c r="I51" s="102"/>
      <c r="J51" s="28"/>
      <c r="K51" s="118"/>
    </row>
    <row r="52" spans="2:12" ht="12" customHeight="1">
      <c r="B52" s="15" t="s">
        <v>40</v>
      </c>
      <c r="C52" s="3"/>
      <c r="D52" s="1"/>
      <c r="E52" s="1"/>
      <c r="F52" s="1"/>
      <c r="G52" s="15" t="s">
        <v>54</v>
      </c>
      <c r="H52" s="15"/>
      <c r="I52" s="102"/>
      <c r="J52" s="28"/>
    </row>
    <row r="53" spans="2:12" ht="12" customHeight="1">
      <c r="B53" s="2" t="s">
        <v>53</v>
      </c>
      <c r="C53" s="2" t="s">
        <v>21</v>
      </c>
      <c r="D53" s="2" t="s">
        <v>22</v>
      </c>
      <c r="E53" s="2" t="s">
        <v>84</v>
      </c>
      <c r="F53" s="17"/>
      <c r="G53" s="2" t="s">
        <v>41</v>
      </c>
      <c r="H53" s="97" t="s">
        <v>59</v>
      </c>
      <c r="I53" s="49" t="s">
        <v>44</v>
      </c>
      <c r="J53" s="2" t="s">
        <v>21</v>
      </c>
      <c r="K53" s="49" t="s">
        <v>29</v>
      </c>
      <c r="L53" s="2" t="s">
        <v>28</v>
      </c>
    </row>
    <row r="54" spans="2:12" ht="12" customHeight="1">
      <c r="B54" s="51" t="s">
        <v>37</v>
      </c>
      <c r="C54" s="50" t="s">
        <v>38</v>
      </c>
      <c r="D54" s="70" t="s">
        <v>112</v>
      </c>
      <c r="E54" s="137" t="s">
        <v>71</v>
      </c>
      <c r="F54" s="17"/>
      <c r="G54" s="86" t="str">
        <f>IF(D67=0,"",G55)</f>
        <v/>
      </c>
      <c r="H54" s="87" t="str">
        <f>IF(D67=0,"",H56&amp;" (背面管部）")</f>
        <v/>
      </c>
      <c r="I54" s="88" t="str">
        <f>IF(D67=0,"",D68)</f>
        <v/>
      </c>
      <c r="J54" s="89" t="str">
        <f>IF(D67=0,"","m")</f>
        <v/>
      </c>
      <c r="K54" s="90" t="str">
        <f>IF(D67=0,"",D67)</f>
        <v/>
      </c>
      <c r="L54" s="29" t="str">
        <f>IF(D67=0,"",D59*K54)</f>
        <v/>
      </c>
    </row>
    <row r="55" spans="2:12" ht="12" customHeight="1">
      <c r="B55" s="52" t="s">
        <v>39</v>
      </c>
      <c r="C55" s="91" t="s">
        <v>38</v>
      </c>
      <c r="D55" s="71" t="s">
        <v>60</v>
      </c>
      <c r="E55" s="138"/>
      <c r="F55" s="17"/>
      <c r="G55" s="68" t="s">
        <v>43</v>
      </c>
      <c r="H55" s="68" t="s">
        <v>113</v>
      </c>
      <c r="I55" s="88" t="str" cm="1">
        <f t="array" ref="I55">_xlfn.IFS(AND(G55&lt;&gt;"非削孔",G55&lt;&gt;"無設定"),D69,G55="非削孔",IF(MID(B56,1,3)="土留め","非削孔","箱抜き"),G55="無設定","無設定")</f>
        <v>箱抜き</v>
      </c>
      <c r="J55" s="23" t="str">
        <f>IF(G55="無設定","","m")</f>
        <v>m</v>
      </c>
      <c r="K55" s="69">
        <v>0.5</v>
      </c>
      <c r="L55" s="30">
        <f>D59*K55</f>
        <v>5</v>
      </c>
    </row>
    <row r="56" spans="2:12" ht="12" customHeight="1">
      <c r="B56" s="115" t="s">
        <v>86</v>
      </c>
      <c r="C56" s="91" t="s">
        <v>38</v>
      </c>
      <c r="D56" s="83" t="s">
        <v>51</v>
      </c>
      <c r="E56" s="139" t="str">
        <f>IF(OR(MID(B56,1,3)&lt;&gt;"土留め",D56="なし"),"","腹起し")</f>
        <v/>
      </c>
      <c r="F56" s="140"/>
      <c r="G56" s="68" t="s">
        <v>49</v>
      </c>
      <c r="H56" s="68" t="s">
        <v>114</v>
      </c>
      <c r="I56" s="88" cm="1">
        <f t="array" ref="I56">_xlfn.IFS(AND(G56&lt;&gt;"非削孔",G56&lt;&gt;"無設定"),D69,G56="非削孔","箱抜き",G56="無設定","無設定")</f>
        <v>90</v>
      </c>
      <c r="J56" s="23" t="str">
        <f t="shared" ref="J56:J64" si="2">IF(G56="無設定","","m")</f>
        <v>m</v>
      </c>
      <c r="K56" s="69">
        <v>4.2300000000000004</v>
      </c>
      <c r="L56" s="30">
        <f>D59*K56</f>
        <v>42.300000000000004</v>
      </c>
    </row>
    <row r="57" spans="2:12" ht="12" customHeight="1">
      <c r="B57" s="114" t="str">
        <f>IF(OR(MID(B56,1,3)&lt;&gt;"土留め",D56="なし"),"",B56&amp;"の種類")</f>
        <v/>
      </c>
      <c r="C57" s="91" t="s">
        <v>38</v>
      </c>
      <c r="D57" s="113" t="s">
        <v>71</v>
      </c>
      <c r="E57" s="122" t="s">
        <v>71</v>
      </c>
      <c r="F57" s="141"/>
      <c r="G57" s="68" t="s">
        <v>49</v>
      </c>
      <c r="H57" s="68" t="s">
        <v>115</v>
      </c>
      <c r="I57" s="88" cm="1">
        <f t="array" ref="I57">_xlfn.IFS(AND(G57&lt;&gt;"非削孔",G57&lt;&gt;"無設定"),D69,G57="非削孔","箱抜き",G57="無設定","無設定")</f>
        <v>90</v>
      </c>
      <c r="J57" s="23" t="str">
        <f t="shared" si="2"/>
        <v>m</v>
      </c>
      <c r="K57" s="69">
        <v>5.27</v>
      </c>
      <c r="L57" s="30">
        <f>D59*K57</f>
        <v>52.699999999999996</v>
      </c>
    </row>
    <row r="58" spans="2:12" ht="12" customHeight="1">
      <c r="B58" s="147" t="s">
        <v>50</v>
      </c>
      <c r="C58" s="91" t="s">
        <v>38</v>
      </c>
      <c r="D58" s="83" t="s">
        <v>51</v>
      </c>
      <c r="E58" s="102"/>
      <c r="F58" s="21"/>
      <c r="G58" s="68" t="s">
        <v>48</v>
      </c>
      <c r="H58" s="68"/>
      <c r="I58" s="88" t="str" cm="1">
        <f t="array" ref="I58">_xlfn.IFS(AND(G58&lt;&gt;"非削孔",G58&lt;&gt;"無設定"),D69,G58="非削孔","箱抜き",G58="無設定","無設定")</f>
        <v>無設定</v>
      </c>
      <c r="J58" s="23" t="str">
        <f t="shared" si="2"/>
        <v/>
      </c>
      <c r="K58" s="69">
        <v>0</v>
      </c>
      <c r="L58" s="30">
        <f>D59*K58</f>
        <v>0</v>
      </c>
    </row>
    <row r="59" spans="2:12" ht="12" customHeight="1">
      <c r="B59" s="157" t="s">
        <v>25</v>
      </c>
      <c r="C59" s="158" t="s">
        <v>24</v>
      </c>
      <c r="D59" s="162">
        <v>10</v>
      </c>
      <c r="E59" s="19"/>
      <c r="F59" s="21"/>
      <c r="G59" s="68" t="s">
        <v>48</v>
      </c>
      <c r="H59" s="68"/>
      <c r="I59" s="88" t="str" cm="1">
        <f t="array" ref="I59">_xlfn.IFS(AND(G59&lt;&gt;"非削孔",G59&lt;&gt;"無設定"),D69,G59="非削孔","箱抜き",G59="無設定","無設定")</f>
        <v>無設定</v>
      </c>
      <c r="J59" s="23" t="str">
        <f t="shared" si="2"/>
        <v/>
      </c>
      <c r="K59" s="69">
        <v>0</v>
      </c>
      <c r="L59" s="30">
        <f>D59*K59</f>
        <v>0</v>
      </c>
    </row>
    <row r="60" spans="2:12" ht="12" customHeight="1">
      <c r="B60" s="160" t="str" cm="1">
        <f t="array" ref="B60">"頭部自由長("&amp;_xlfn.IFS(AND(MID(B56,1,3)="土留め",D56="あり"),"腹起し+台座",AND(MID(B56,1,3)="土留め",D56="なし"),"台座なし",AND(MID(B56,1,3)="構造物",D56="あり"),"壁面台座",AND(MID(B56,1,3)="構造物",D56="なし"),"台座なし",AND(MID(B56,1,3)="のり面",D56="あり"),"角度台座＋受圧体",AND(MID(B56,1,3)="のり面",D56="なし"),"受圧体")&amp;")　"&amp;"Lfh"</f>
        <v>頭部自由長(受圧体)　Lfh</v>
      </c>
      <c r="C60" s="155" t="s">
        <v>23</v>
      </c>
      <c r="D60" s="161">
        <v>0.5</v>
      </c>
      <c r="E60" s="21"/>
      <c r="F60" s="21"/>
      <c r="G60" s="68" t="s">
        <v>48</v>
      </c>
      <c r="H60" s="68"/>
      <c r="I60" s="88" t="str" cm="1">
        <f t="array" ref="I60">_xlfn.IFS(AND(G60&lt;&gt;"非削孔",G60&lt;&gt;"無設定"),D69,G60="非削孔","箱抜き",G60="無設定","無設定")</f>
        <v>無設定</v>
      </c>
      <c r="J60" s="23" t="str">
        <f t="shared" si="2"/>
        <v/>
      </c>
      <c r="K60" s="69">
        <v>0</v>
      </c>
      <c r="L60" s="30">
        <f>D59*K60</f>
        <v>0</v>
      </c>
    </row>
    <row r="61" spans="2:12" ht="12" customHeight="1">
      <c r="B61" s="22" t="s">
        <v>108</v>
      </c>
      <c r="C61" s="23" t="s">
        <v>23</v>
      </c>
      <c r="D61" s="47">
        <v>5.5</v>
      </c>
      <c r="E61" s="21"/>
      <c r="F61" s="21"/>
      <c r="G61" s="68" t="s">
        <v>48</v>
      </c>
      <c r="H61" s="68"/>
      <c r="I61" s="88" t="str" cm="1">
        <f t="array" ref="I61">_xlfn.IFS(AND(G61&lt;&gt;"非削孔",G61&lt;&gt;"無設定"),#REF!,G61="非削孔","箱抜き",G61="無設定","無設定")</f>
        <v>無設定</v>
      </c>
      <c r="J61" s="23" t="str">
        <f t="shared" si="2"/>
        <v/>
      </c>
      <c r="K61" s="69">
        <v>0</v>
      </c>
      <c r="L61" s="30">
        <f>D59*K61</f>
        <v>0</v>
      </c>
    </row>
    <row r="62" spans="2:12" ht="12" customHeight="1">
      <c r="B62" s="157" t="s">
        <v>36</v>
      </c>
      <c r="C62" s="158" t="s">
        <v>23</v>
      </c>
      <c r="D62" s="159">
        <v>4</v>
      </c>
      <c r="E62" s="21"/>
      <c r="F62" s="21"/>
      <c r="G62" s="68" t="s">
        <v>48</v>
      </c>
      <c r="H62" s="68"/>
      <c r="I62" s="88" t="str" cm="1">
        <f t="array" ref="I62">_xlfn.IFS(AND(G62&lt;&gt;"非削孔",G62&lt;&gt;"無設定"),D69,G62="非削孔","箱抜き",G62="無設定","無設定")</f>
        <v>無設定</v>
      </c>
      <c r="J62" s="23" t="str">
        <f t="shared" si="2"/>
        <v/>
      </c>
      <c r="K62" s="69">
        <v>0</v>
      </c>
      <c r="L62" s="30">
        <f>D59*K62</f>
        <v>0</v>
      </c>
    </row>
    <row r="63" spans="2:12" ht="12" customHeight="1">
      <c r="B63" s="154" t="s">
        <v>69</v>
      </c>
      <c r="C63" s="155" t="s">
        <v>23</v>
      </c>
      <c r="D63" s="156" cm="1">
        <f t="array" ref="D63">IF(D54="　","──",_xlfn.IFS(AND(MID(D54,4,1)="5",1*MID(D54,6,2)&lt;8),1,AND(MID(D54,4,1)="5",1*MID(D54,6,2)&gt;7),1.5,AND(MID(D54,4,1)="6",1*MID(D54,6,2)&lt;6),1,AND(MID(D54,4,1)="6",1*MID(D54,6,2)&gt;5),1.5))</f>
        <v>1</v>
      </c>
      <c r="E63" s="21"/>
      <c r="G63" s="68" t="s">
        <v>48</v>
      </c>
      <c r="H63" s="68"/>
      <c r="I63" s="88" t="str" cm="1">
        <f t="array" ref="I63">_xlfn.IFS(AND(G63&lt;&gt;"非削孔",G63&lt;&gt;"無設定"),D69,G63="非削孔","箱抜き",G63="無設定","無設定")</f>
        <v>無設定</v>
      </c>
      <c r="J63" s="23" t="str">
        <f t="shared" si="2"/>
        <v/>
      </c>
      <c r="K63" s="69">
        <v>0</v>
      </c>
      <c r="L63" s="30">
        <f>D59*K63</f>
        <v>0</v>
      </c>
    </row>
    <row r="64" spans="2:12" ht="12" customHeight="1">
      <c r="B64" s="22" t="s">
        <v>125</v>
      </c>
      <c r="C64" s="23" t="s">
        <v>35</v>
      </c>
      <c r="D64" s="84">
        <f>IF(D54="　","──",0.2)</f>
        <v>0.2</v>
      </c>
      <c r="E64" s="120"/>
      <c r="F64" s="19"/>
      <c r="G64" s="99" t="str" cm="1">
        <f t="array" ref="G64">INDEX(G55:I63,MATCH("無設定",G55:G63,0)-1,MATCH(G53,G53:I53,0))</f>
        <v>軟　岩</v>
      </c>
      <c r="H64" s="100" t="str" cm="1">
        <f t="array" ref="H64">INDEX(G55:I63,MATCH("無設定",G55:G63,0)-1,MATCH(H53,G53:I53,0))&amp;"　(先端長 L2d)"</f>
        <v>風化岩 CL　(先端長 L2d)</v>
      </c>
      <c r="I64" s="88" cm="1">
        <f t="array" ref="I64">INDEX(G55:I63,MATCH("無設定",G55:G63,0)-1,MATCH(I53,G53:I53,0))</f>
        <v>90</v>
      </c>
      <c r="J64" s="23" t="str">
        <f t="shared" si="2"/>
        <v>m</v>
      </c>
      <c r="K64" s="98">
        <f>D66</f>
        <v>0.25</v>
      </c>
      <c r="L64" s="78">
        <f>IFERROR(D59*K64,"")</f>
        <v>2.5</v>
      </c>
    </row>
    <row r="65" spans="2:14" ht="12" customHeight="1">
      <c r="B65" s="6" t="s">
        <v>126</v>
      </c>
      <c r="C65" s="23" t="s">
        <v>23</v>
      </c>
      <c r="D65" s="60">
        <f>IF(D54="　","──",SUM(D61:D63))</f>
        <v>10.5</v>
      </c>
      <c r="E65" s="121"/>
      <c r="F65" s="19"/>
      <c r="G65" s="72"/>
      <c r="H65" s="75" t="s">
        <v>124</v>
      </c>
      <c r="I65" s="103"/>
      <c r="J65" s="18" t="s">
        <v>23</v>
      </c>
      <c r="K65" s="74">
        <f>SUMIFS(K54:K64,G54:G64,"&lt;&gt;非削孔",G54:G64,"&lt;&gt;無設定")</f>
        <v>9.75</v>
      </c>
      <c r="L65" s="95">
        <f>SUMIFS(L54:L64,G54:G64,"&lt;&gt;非削孔",G54:G64,"&lt;&gt;無設定")</f>
        <v>97.5</v>
      </c>
      <c r="N65" s="144"/>
    </row>
    <row r="66" spans="2:14" ht="12" customHeight="1">
      <c r="B66" s="25" t="s">
        <v>127</v>
      </c>
      <c r="C66" s="26" t="s">
        <v>23</v>
      </c>
      <c r="D66" s="27">
        <f>IF(D54="　","──",$N$1)</f>
        <v>0.25</v>
      </c>
      <c r="E66" s="121"/>
      <c r="F66" s="19"/>
      <c r="G66" s="73"/>
      <c r="H66" s="76" t="s">
        <v>47</v>
      </c>
      <c r="I66" s="104"/>
      <c r="J66" s="79" t="s">
        <v>46</v>
      </c>
      <c r="K66" s="77" t="str">
        <f>IF(D54="　","",IF(SUM(D60:D62,D67,D66)=K65+SUMIFS(K54:K64,G54:G64,"=非削孔"),"OK","NG"))</f>
        <v>OK</v>
      </c>
      <c r="L66" s="145" t="str">
        <f>IF(K66&lt;&gt;"NG","──",K65+SUMIFS(K54:K64,G54:G64,"=非削孔")-SUM(D60:D62,D67,D66))</f>
        <v>──</v>
      </c>
    </row>
    <row r="67" spans="2:14" ht="12" customHeight="1">
      <c r="B67" s="22" t="s">
        <v>73</v>
      </c>
      <c r="C67" s="23" t="s">
        <v>35</v>
      </c>
      <c r="D67" s="85">
        <v>0</v>
      </c>
      <c r="E67" s="123"/>
      <c r="F67" s="19"/>
      <c r="G67" s="94" t="s">
        <v>58</v>
      </c>
      <c r="H67" s="252" t="s">
        <v>110</v>
      </c>
      <c r="I67" s="253"/>
      <c r="J67" s="253"/>
      <c r="K67" s="253"/>
      <c r="L67" s="254"/>
    </row>
    <row r="68" spans="2:14" ht="12" customHeight="1">
      <c r="B68" s="22" t="str">
        <f>IF(D54="　","",IF(D67=0,"","頭部背面管削孔径　Dh"))</f>
        <v/>
      </c>
      <c r="C68" s="23" t="str">
        <f>IF(D54="　","",IF(D67=0,"","mm"))</f>
        <v/>
      </c>
      <c r="D68" s="93" t="str" cm="1">
        <f t="array" ref="D68">IF(D54="　","",IF(D67=0,"",IF(MID(D54,4,1)="5",_xlfn.IFS(VALUE(MID(D54,6,2))&lt;7,115,VALUE(MID(D54,6,2))&gt;6,135),"未設定")))</f>
        <v/>
      </c>
      <c r="E68" s="121"/>
      <c r="F68" s="1"/>
      <c r="G68" s="8"/>
      <c r="H68" s="8"/>
      <c r="I68" s="102"/>
    </row>
    <row r="69" spans="2:14" ht="12" customHeight="1">
      <c r="B69" s="95" t="s">
        <v>123</v>
      </c>
      <c r="C69" s="18" t="s">
        <v>32</v>
      </c>
      <c r="D69" s="153">
        <v>90</v>
      </c>
      <c r="E69" s="151"/>
      <c r="F69" s="1"/>
      <c r="G69" s="8"/>
      <c r="H69" s="8"/>
      <c r="I69" s="102"/>
    </row>
    <row r="70" spans="2:14" ht="12" customHeight="1">
      <c r="B70" s="25" t="s">
        <v>122</v>
      </c>
      <c r="C70" s="26" t="s">
        <v>32</v>
      </c>
      <c r="D70" s="152" cm="1">
        <f t="array" ref="D70">IF(D54="　","──",IF(D58="なし",IF(MID(D54,4,1)="5",_xlfn.IFS(VALUE(MID(D54,6,2))&lt;6,90,VALUE(MID(D54,6,2))&lt;9,115,VALUE(MID(D54,6,2))&gt;8,135),_xlfn.IFS(VALUE(MID(D54,6,2))&lt;4,90,VALUE(MID(D54,6,2))&lt;10,135,VALUE(MID(D54,6,2))&gt;9,146)),IF(MID(D54,4,1)="5",_xlfn.IFS(VALUE(MID(D54,6,2))&lt;3,90,VALUE(MID(D54,6,2))&lt;7,115,VALUE(MID(D54,6,2))&lt;10,135,VALUE(MID(D54,6,2))&gt;9,146),_xlfn.IFS(VALUE(MID(D54,6,2))&lt;3,90,VALUE(MID(D54,6,2))&lt;4,115,VALUE(MID(D54,6,2))&lt;6,135,VALUE(MID(D54,6,2))&lt;10,146,VALUE(MID(D54,6,2))&gt;9,165))))</f>
        <v>90</v>
      </c>
      <c r="E70" s="117"/>
      <c r="F70" s="1"/>
      <c r="G70" s="8"/>
      <c r="H70" s="8"/>
      <c r="I70" s="102"/>
    </row>
    <row r="71" spans="2:14" ht="12" customHeight="1">
      <c r="E71" s="117"/>
      <c r="F71" s="1"/>
      <c r="G71" s="8"/>
      <c r="H71" s="8"/>
      <c r="I71" s="102"/>
    </row>
    <row r="72" spans="2:14" ht="12" customHeight="1">
      <c r="B72" s="15" t="str">
        <f>"■"&amp;MID(B49,2,13)</f>
        <v>■長期：EHDアンカー数量表</v>
      </c>
      <c r="C72" s="3"/>
      <c r="D72" s="1"/>
      <c r="E72" s="1"/>
      <c r="F72" s="1"/>
      <c r="G72" s="8"/>
      <c r="H72" s="8"/>
      <c r="I72" s="102"/>
    </row>
    <row r="73" spans="2:14" ht="12" customHeight="1">
      <c r="B73" s="2" t="s">
        <v>17</v>
      </c>
      <c r="C73" s="43"/>
      <c r="D73" s="134"/>
      <c r="E73" s="61" t="s">
        <v>78</v>
      </c>
      <c r="F73" s="135"/>
      <c r="G73" s="16"/>
      <c r="H73" s="61" t="s">
        <v>42</v>
      </c>
      <c r="I73" s="97"/>
      <c r="J73" s="2" t="s">
        <v>21</v>
      </c>
      <c r="K73" s="49" t="s">
        <v>29</v>
      </c>
      <c r="L73" s="2" t="s">
        <v>28</v>
      </c>
    </row>
    <row r="74" spans="2:14" ht="12" customHeight="1">
      <c r="B74" s="4" t="s">
        <v>19</v>
      </c>
      <c r="C74" s="39" t="str">
        <f>IF(D54="　","",D54&amp;" ("&amp;MID(D54,6,2)&amp;IF(MID(D54,4,1)="5","φ12.7","φ15.2")&amp;")")</f>
        <v>EHD5-3 (3φ12.7)</v>
      </c>
      <c r="D74" s="32"/>
      <c r="E74" s="32"/>
      <c r="F74" s="33"/>
      <c r="G74" s="55" t="str">
        <f>"W=(テンドン長+先端長0.2m)×鋼線本数×"&amp;IF(MID(D54,4,1)="5","0.774","1.101")&amp;"kg/m"</f>
        <v>W=(テンドン長+先端長0.2m)×鋼線本数×0.774kg/m</v>
      </c>
      <c r="H74" s="62"/>
      <c r="I74" s="105"/>
      <c r="J74" s="5" t="s">
        <v>11</v>
      </c>
      <c r="K74" s="29">
        <f>IF(D54="　","",MROUND((D65+D64)*MID(D54,6,2)*IF(MID(D54,4,1)="5","0.774","1.101"),0.01))</f>
        <v>24.85</v>
      </c>
      <c r="L74" s="29">
        <f>IFERROR(D59*K74,"")</f>
        <v>248.5</v>
      </c>
    </row>
    <row r="75" spans="2:14" ht="12" customHeight="1">
      <c r="B75" s="6" t="s">
        <v>20</v>
      </c>
      <c r="C75" s="34"/>
      <c r="D75" s="35"/>
      <c r="E75" s="35"/>
      <c r="F75" s="36"/>
      <c r="G75" s="56" t="s">
        <v>33</v>
      </c>
      <c r="H75" s="63"/>
      <c r="I75" s="106"/>
      <c r="J75" s="7" t="s">
        <v>12</v>
      </c>
      <c r="K75" s="30">
        <f>IF(D54="　","",MROUND(D65,0.1))</f>
        <v>10.5</v>
      </c>
      <c r="L75" s="30">
        <f>IFERROR(D59*K75,"")</f>
        <v>105</v>
      </c>
    </row>
    <row r="76" spans="2:14" ht="12" customHeight="1">
      <c r="B76" s="6" t="s">
        <v>0</v>
      </c>
      <c r="C76" s="34" t="str">
        <f>IF(D54="　","","16/20")</f>
        <v>16/20</v>
      </c>
      <c r="D76" s="35"/>
      <c r="E76" s="35"/>
      <c r="F76" s="36"/>
      <c r="G76" s="56" t="s">
        <v>33</v>
      </c>
      <c r="H76" s="63"/>
      <c r="I76" s="106"/>
      <c r="J76" s="7" t="s">
        <v>12</v>
      </c>
      <c r="K76" s="30">
        <f>IF(D54="　","",MROUND(D65,0.1))</f>
        <v>10.5</v>
      </c>
      <c r="L76" s="30">
        <f>IFERROR(D59*K76,"")</f>
        <v>105</v>
      </c>
    </row>
    <row r="77" spans="2:14" ht="12" customHeight="1">
      <c r="B77" s="6" t="s">
        <v>1</v>
      </c>
      <c r="C77" s="34" t="str" cm="1">
        <f t="array" ref="C77">IF(D54="　","",IF(MID(D54,4,1)="5",_xlfn.IFS(VALUE(MID(D54,6,2))&lt;5,"5-4",VALUE(MID(D54,6,2))&lt;8,"5-7",VALUE(MID(D54,6,2))&lt;10,"5-9",VALUE(MID(D54,6,2))&gt;9,"5-12"),_xlfn.IFS(VALUE(MID(D54,6,2))&lt;8,"6-7",VALUE(MID(D54,6,2))&lt;13,"6-12",VALUE(MID(D54,6,2))&gt;12,"6-19"))&amp;"用、ポリプロピレン")</f>
        <v>5-4用、ポリプロピレン</v>
      </c>
      <c r="D77" s="35"/>
      <c r="E77" s="35"/>
      <c r="F77" s="36"/>
      <c r="G77" s="52" t="str">
        <f>"N=1"</f>
        <v>N=1</v>
      </c>
      <c r="H77" s="64"/>
      <c r="I77" s="53"/>
      <c r="J77" s="7" t="s">
        <v>13</v>
      </c>
      <c r="K77" s="130" t="str">
        <f>IF(D54="　","",MID(G77,3,2))</f>
        <v>1</v>
      </c>
      <c r="L77" s="30">
        <f>IFERROR(D59*K77,"")</f>
        <v>10</v>
      </c>
    </row>
    <row r="78" spans="2:14" ht="12" customHeight="1">
      <c r="B78" s="6" t="s">
        <v>2</v>
      </c>
      <c r="C78" s="34" t="str" cm="1">
        <f t="array" ref="C78">IF(D54="　","",IF(MID(D54,4,1)="5",_xlfn.IFS(VALUE(MID(D54,6,2))&lt;6,"5-5",VALUE(MID(D54,6,2))&lt;9,"5-8",VALUE(MID(D54,6,2))&gt;8,"5-12"),_xlfn.IFS(VALUE(MID(D54,6,2))&lt;13,"6-12",VALUE(MID(D54,6,2))&lt;17,"6-16",VALUE(MID(D54,6,2))&gt;16,"6-20"))&amp;"用、ポリプロピレン")</f>
        <v>5-5用、ポリプロピレン</v>
      </c>
      <c r="D78" s="35"/>
      <c r="E78" s="35"/>
      <c r="F78" s="36"/>
      <c r="G78" s="127" t="s">
        <v>120</v>
      </c>
      <c r="H78" s="63"/>
      <c r="I78" s="106"/>
      <c r="J78" s="7" t="s">
        <v>13</v>
      </c>
      <c r="K78" s="6">
        <f>IF(D54="　","",MROUND((D62-0.5)/1,1))</f>
        <v>4</v>
      </c>
      <c r="L78" s="30">
        <f>IFERROR(D59*K78,"")</f>
        <v>40</v>
      </c>
    </row>
    <row r="79" spans="2:14" ht="12" customHeight="1">
      <c r="B79" s="6" t="s">
        <v>3</v>
      </c>
      <c r="C79" s="34" t="str">
        <f>IF(D54="　","","AB350")</f>
        <v>AB350</v>
      </c>
      <c r="D79" s="35"/>
      <c r="E79" s="35"/>
      <c r="F79" s="36"/>
      <c r="G79" s="127" t="s">
        <v>34</v>
      </c>
      <c r="H79" s="63"/>
      <c r="I79" s="106"/>
      <c r="J79" s="7" t="s">
        <v>14</v>
      </c>
      <c r="K79" s="6">
        <f>IF(D54="　","",2*K78)</f>
        <v>8</v>
      </c>
      <c r="L79" s="30">
        <f>IFERROR(D59*K79,"")</f>
        <v>80</v>
      </c>
    </row>
    <row r="80" spans="2:14" ht="12" customHeight="1">
      <c r="B80" s="6" t="s">
        <v>4</v>
      </c>
      <c r="C80" s="34"/>
      <c r="D80" s="35"/>
      <c r="E80" s="35"/>
      <c r="F80" s="36"/>
      <c r="G80" s="127" t="str">
        <f>IF(D54="　","","L=((自由長+緊張余長)÷@1.0m)×ﾃﾝﾄﾞﾝ係数"&amp;IF(MID(D54,4,1)="5",_xlfn.IFS(VALUE(MID(D54,6,2))=1,"0.6",VALUE(MID(D54,6,2))&lt;5,"1.0",VALUE(MID(D54,6,2))&lt;8,"1.1",VALUE(MID(D54,6,2))&gt;7,"1.2"),_xlfn.IFS(VALUE(MID(D54,6,2))=1,"0.7",VALUE(MID(D54,6,2))&lt;5,"1.1",VALUE(MID(D54,6,2))&lt;8,"1.2",VALUE(MID(D54,6,2))&gt;7,"1.3")))</f>
        <v>L=((自由長+緊張余長)÷@1.0m)×ﾃﾝﾄﾞﾝ係数1.0</v>
      </c>
      <c r="H80" s="63"/>
      <c r="I80" s="106"/>
      <c r="J80" s="7" t="s">
        <v>12</v>
      </c>
      <c r="K80" s="136">
        <f>IF(D54="　","",MROUND((SUM(D61,D60:D63))/1*RIGHT(G80, 3),0.1))</f>
        <v>16.5</v>
      </c>
      <c r="L80" s="30">
        <f>IFERROR(D59*K80,"")</f>
        <v>165</v>
      </c>
    </row>
    <row r="81" spans="2:12" ht="12" customHeight="1">
      <c r="B81" s="6" t="str">
        <f>"ヘッドキャップ"&amp;IF(LEFT(E54,2)="窓付"," (目視型)","")</f>
        <v>ヘッドキャップ</v>
      </c>
      <c r="C81" s="34" t="str" cm="1">
        <f t="array" ref="C81">IF(D54="　","",IF(MID(D54,4,1)="5",_xlfn.IFS(VALUE(MID(D54,6,2))&lt;5,"5-4",VALUE(MID(D54,6,2))&lt;8,"5-7",VALUE(MID(D54,6,2))&gt;7,"5-12"),"未設定")&amp;"用RN型、AC4C相当"&amp;IF(D55="防食Ⅱ","","、防食：タケコート処理"))</f>
        <v>5-4用RN型、AC4C相当</v>
      </c>
      <c r="D81" s="44"/>
      <c r="E81" s="44"/>
      <c r="F81" s="45"/>
      <c r="G81" s="52" t="str">
        <f>"N=1"</f>
        <v>N=1</v>
      </c>
      <c r="H81" s="64"/>
      <c r="I81" s="53"/>
      <c r="J81" s="7" t="s">
        <v>13</v>
      </c>
      <c r="K81" s="130" t="str">
        <f>IF(D54="　","",MID(G81,3,2))</f>
        <v>1</v>
      </c>
      <c r="L81" s="30">
        <f>IFERROR(D59*K81,"")</f>
        <v>10</v>
      </c>
    </row>
    <row r="82" spans="2:12" ht="12" customHeight="1">
      <c r="B82" s="6" t="s">
        <v>5</v>
      </c>
      <c r="C82" s="34" t="str" cm="1">
        <f t="array" ref="C82">IF(D54="　","",IF(MID(D54,4,1)="5",_xlfn.IFS(VALUE(MID(D54,6,2))&lt;3,"5-2",VALUE(MID(D54,6,2))&lt;4,"5-3",VALUE(MID(D54,6,2))&lt;5,"5-4",VALUE(MID(D54,6,2))&lt;8,"5-7",VALUE(MID(D54,6,2))&lt;10,"5-9",VALUE(MID(D54,6,2))&gt;9,"5-12"),_xlfn.IFS(VALUE(MID(D54,6,2))&lt;8,"6-7",VALUE(MID(D54,6,2))&gt;7,"6-12"))&amp;"用、S45C相当")</f>
        <v>5-3用、S45C相当</v>
      </c>
      <c r="D82" s="35"/>
      <c r="E82" s="35"/>
      <c r="F82" s="36"/>
      <c r="G82" s="52" t="str">
        <f>"N=1"</f>
        <v>N=1</v>
      </c>
      <c r="H82" s="64"/>
      <c r="I82" s="53"/>
      <c r="J82" s="7" t="s">
        <v>13</v>
      </c>
      <c r="K82" s="130" t="str">
        <f>IF(D54="　","",MID(G82,3,2))</f>
        <v>1</v>
      </c>
      <c r="L82" s="30">
        <f>IFERROR(D59*K82,"")</f>
        <v>10</v>
      </c>
    </row>
    <row r="83" spans="2:12" ht="12" customHeight="1">
      <c r="B83" s="6" t="s">
        <v>6</v>
      </c>
      <c r="C83" s="34" t="str" cm="1">
        <f t="array" ref="C83">IF(D54="　","",IF(MID(D54,4,1)="5",_xlfn.IFS(VALUE(MID(D54,6,2))&lt;3,"5-2",VALUE(MID(D54,6,2))&lt;4,"5-3",VALUE(MID(D54,6,2))&lt;5,"5-4",VALUE(MID(D54,6,2))&lt;8,"5-7",VALUE(MID(D54,6,2))&lt;10,"5-9",VALUE(MID(D54,6,2))&gt;9,"5-12"),_xlfn.IFS(VALUE(MID(D54,6,2))&lt;8,"6-7",VALUE(MID(D54,6,2))&gt;7,"6-12"))&amp;"用、S45C相当")</f>
        <v>5-3用、S45C相当</v>
      </c>
      <c r="D83" s="35"/>
      <c r="E83" s="35"/>
      <c r="F83" s="36"/>
      <c r="G83" s="52" t="str">
        <f>"N=1"</f>
        <v>N=1</v>
      </c>
      <c r="H83" s="64"/>
      <c r="I83" s="53"/>
      <c r="J83" s="7" t="s">
        <v>13</v>
      </c>
      <c r="K83" s="130" t="str">
        <f>IF(D54="　","",MID(G83,3,2))</f>
        <v>1</v>
      </c>
      <c r="L83" s="30">
        <f>IFERROR(D59*K83,"")</f>
        <v>10</v>
      </c>
    </row>
    <row r="84" spans="2:12" ht="12" customHeight="1">
      <c r="B84" s="6" t="s">
        <v>7</v>
      </c>
      <c r="C84" s="34" t="str">
        <f>IF(D54="　","",D54&amp;"用、SCM415相当")</f>
        <v>EHD5-3用、SCM415相当</v>
      </c>
      <c r="D84" s="35"/>
      <c r="E84" s="35"/>
      <c r="F84" s="36"/>
      <c r="G84" s="52" t="str">
        <f>IF(D54="　","","N="&amp;VALUE(MID(D54,6,2)))</f>
        <v>N=3</v>
      </c>
      <c r="H84" s="64"/>
      <c r="I84" s="53"/>
      <c r="J84" s="7" t="s">
        <v>15</v>
      </c>
      <c r="K84" s="130" t="str">
        <f>IF(D54="　","",MID(G84,3,2))</f>
        <v>3</v>
      </c>
      <c r="L84" s="30">
        <f>IFERROR(D59*K84,"")</f>
        <v>30</v>
      </c>
    </row>
    <row r="85" spans="2:12" ht="12" customHeight="1">
      <c r="B85" s="6" t="s">
        <v>18</v>
      </c>
      <c r="C85" s="96" t="str" cm="1">
        <f t="array" ref="C85">IF(D54="　","",IF(MID(D54,4,1)="5",_xlfn.IFS(VALUE(MID(D54,6,2))&lt;3,"5-2",VALUE(MID(D54,6,2))&lt;4,"5-3",VALUE(MID(D54,6,2))&lt;5,"5-4",VALUE(MID(D54,6,2))&lt;8,"5-7",VALUE(MID(D54,6,2))&lt;10,"5-9",VALUE(MID(D54,6,2))&gt;9,"5-12"),_xlfn.IFS(VALUE(MID(D54,6,2))&lt;4,"6-3",VALUE(MID(D54,6,2))&lt;8,"6-7",VALUE(MID(D54,6,2))&gt;7,"6-12"))&amp;"用、SS400・STKM13A相当、防食："&amp;IF(D55="防食Ⅱ","亜鉛めっき処理","ｱﾙﾐﾅｲｽﾞ処理"))</f>
        <v>5-3用、SS400・STKM13A相当、防食：亜鉛めっき処理</v>
      </c>
      <c r="D85" s="35"/>
      <c r="E85" s="35"/>
      <c r="F85" s="36"/>
      <c r="G85" s="52" t="str">
        <f>"N=1"</f>
        <v>N=1</v>
      </c>
      <c r="H85" s="64"/>
      <c r="I85" s="53"/>
      <c r="J85" s="7" t="s">
        <v>16</v>
      </c>
      <c r="K85" s="130" t="str">
        <f>IF(D54="　","",MID(G85,3,2))</f>
        <v>1</v>
      </c>
      <c r="L85" s="30">
        <f>IFERROR(D59*K85,"")</f>
        <v>10</v>
      </c>
    </row>
    <row r="86" spans="2:12" ht="12" customHeight="1">
      <c r="B86" s="6" t="s">
        <v>8</v>
      </c>
      <c r="C86" s="34" t="str">
        <f>IF(D54="　","",D54&amp;"用、NBR45相当")</f>
        <v>EHD5-3用、NBR45相当</v>
      </c>
      <c r="D86" s="35"/>
      <c r="E86" s="35"/>
      <c r="F86" s="36"/>
      <c r="G86" s="52" t="str">
        <f>"N=1"</f>
        <v>N=1</v>
      </c>
      <c r="H86" s="64"/>
      <c r="I86" s="53"/>
      <c r="J86" s="7" t="s">
        <v>13</v>
      </c>
      <c r="K86" s="130" t="str">
        <f>IF(D54="　","",MID(G86,3,2))</f>
        <v>1</v>
      </c>
      <c r="L86" s="30">
        <f>IFERROR(D59*K86,"")</f>
        <v>10</v>
      </c>
    </row>
    <row r="87" spans="2:12" ht="12" customHeight="1">
      <c r="B87" s="6" t="s">
        <v>9</v>
      </c>
      <c r="C87" s="34" t="str">
        <f>IF(D54="　","","EHD"&amp;IF(MID(D54,4,1)="5",_xlfn.IFS(VALUE(MID(D54,6,2))=3,"5-3",VALUE(MID(D54,6,2))&lt;5,"5-4",VALUE(MID(D54,6,2))&lt;8,"5-7",VALUE(MID(D54,6,2))&gt;7,"5-12"),_xlfn.IFS(VALUE(MID(D54,6,2))=3,"6-3",VALUE(MID(D54,6,2))&lt;5,"6-4",VALUE(MID(D54,6,2))&lt;8,"6-7",VALUE(MID(D54,6,2))&gt;7,"6-12"))&amp;"用、ポリエチレン")</f>
        <v>EHD5-3用、ポリエチレン</v>
      </c>
      <c r="D87" s="35"/>
      <c r="E87" s="35"/>
      <c r="F87" s="36"/>
      <c r="G87" s="52" t="str">
        <f>"N=1"</f>
        <v>N=1</v>
      </c>
      <c r="H87" s="64"/>
      <c r="I87" s="53"/>
      <c r="J87" s="7" t="s">
        <v>13</v>
      </c>
      <c r="K87" s="130" t="str">
        <f>IF(D54="　","",MID(G87,3,2))</f>
        <v>1</v>
      </c>
      <c r="L87" s="30">
        <f>IFERROR(D59*K87,"")</f>
        <v>10</v>
      </c>
    </row>
    <row r="88" spans="2:12" ht="12" customHeight="1">
      <c r="B88" s="6" t="s">
        <v>10</v>
      </c>
      <c r="C88" s="34" t="str">
        <f>IF(D54="　","","PCコート")</f>
        <v>PCコート</v>
      </c>
      <c r="D88" s="35"/>
      <c r="E88" s="35"/>
      <c r="F88" s="36"/>
      <c r="G88" s="149" t="str" cm="1">
        <f t="array" ref="G88">IF(D54="　","","W="&amp;IF(MID(D54,4,1)="5",_xlfn.IFS(VALUE(MID(D54,6,2))&lt;4,2,VALUE(MID(D54,6,2))&lt;5,2,VALUE(MID(D54,6,2))&lt;8,2.7,VALUE(MID(D54,6,2))&gt;7,5),_xlfn.IFS(VALUE(MID(D54,6,2))=1,2,VALUE(MID(D54,6,2))&lt;3,2,VALUE(MID(D54,6,2))&lt;5,2.7,VALUE(MID(D54,6,2))&lt;8,5,VALUE(MID(D54,6,2))&gt;7,12.3)))</f>
        <v>W=2</v>
      </c>
      <c r="H88" s="80"/>
      <c r="I88" s="81"/>
      <c r="J88" s="7" t="s">
        <v>11</v>
      </c>
      <c r="K88" s="132" t="str">
        <f>IF(D54="　","",MID(G88,3,4))</f>
        <v>2</v>
      </c>
      <c r="L88" s="30">
        <f>IFERROR(D59*K88,"")</f>
        <v>20</v>
      </c>
    </row>
    <row r="89" spans="2:12" ht="12" customHeight="1">
      <c r="B89" s="6" t="str">
        <f>IF(D56="なし","",B56)</f>
        <v/>
      </c>
      <c r="C89" s="56" t="str" cm="1">
        <f t="array" ref="C89">IF(D54="　","",IF(D56="なし","",_xlfn.IFS(MID(B56,1,3)="のり面",_xlfn.IFS(VALUE(MID(D54,6,2))&lt;5,"ST170",VALUE(MID(D54,6,2))&lt;8,"ST200",VALUE(MID(D54,6,2))&lt;13,"ST220")&amp;"、FCD450相当",OR(MID(B56,1,3)="構造物",MID(B56,1,3)="土留め"),D54&amp;"用"&amp;IF(OR(MID(B56,1,3)="構造物",D57="　"),"",D57&amp;"/"&amp;E57))&amp;"、防食："&amp;IF(D55="防食Ⅱ","亜鉛めっき処理","ｱﾙﾐﾅｲｽﾞ処理")))</f>
        <v/>
      </c>
      <c r="D89" s="35"/>
      <c r="E89" s="35"/>
      <c r="F89" s="36"/>
      <c r="G89" s="52" t="str">
        <f>IF(D56="なし","","N=1")</f>
        <v/>
      </c>
      <c r="H89" s="64"/>
      <c r="I89" s="53"/>
      <c r="J89" s="7" t="s">
        <v>26</v>
      </c>
      <c r="K89" s="130" t="str">
        <f>IF(D54="　","",MID(G89,3,2))</f>
        <v/>
      </c>
      <c r="L89" s="30" t="str">
        <f>IF(K89="","",D59*K89)</f>
        <v/>
      </c>
    </row>
    <row r="90" spans="2:12" ht="12" customHeight="1">
      <c r="B90" s="6" t="str">
        <f>IF(D58="なし","","フリーパッカー注入ホース")</f>
        <v/>
      </c>
      <c r="C90" s="34" t="str">
        <f>IF(OR(D54="　",B90=""),"","16/20")</f>
        <v/>
      </c>
      <c r="D90" s="35"/>
      <c r="E90" s="35"/>
      <c r="F90" s="36"/>
      <c r="G90" s="56" t="str">
        <f>IF(B90="","","L=自由長+余長")</f>
        <v/>
      </c>
      <c r="H90" s="63"/>
      <c r="I90" s="106"/>
      <c r="J90" s="7" t="s">
        <v>12</v>
      </c>
      <c r="K90" s="30" t="str">
        <f>IF(D54="　","",IF(B90="","",MROUND(D61+D63,0.1)))</f>
        <v/>
      </c>
      <c r="L90" s="30" t="str">
        <f>IF(K90="","",D59*K90)</f>
        <v/>
      </c>
    </row>
    <row r="91" spans="2:12" ht="12" customHeight="1">
      <c r="B91" s="9" t="str">
        <f>IF(D58="なし","","フリーパッカー")</f>
        <v/>
      </c>
      <c r="C91" s="52" t="str" cm="1">
        <f t="array" ref="C91">IF(OR(D54="　",B90=""),"",_xlfn.IFS(D69=90,"PA-170",D69=115,"PA-200",D69&lt;147,"PA-240",D69&gt;147,"PA-350"))</f>
        <v/>
      </c>
      <c r="D91" s="35"/>
      <c r="E91" s="35"/>
      <c r="F91" s="36"/>
      <c r="G91" s="57" t="str">
        <f>IF(B91="","","L=自由長+0.5m")</f>
        <v/>
      </c>
      <c r="H91" s="65"/>
      <c r="I91" s="107"/>
      <c r="J91" s="10" t="s">
        <v>12</v>
      </c>
      <c r="K91" s="30" t="str">
        <f>IF(D54="　","",IF(B91="","",MROUND(K55+0.5,0.1)))</f>
        <v/>
      </c>
      <c r="L91" s="30" t="str">
        <f>IF(K91="","",D59*K91)</f>
        <v/>
      </c>
    </row>
    <row r="92" spans="2:12" ht="12" customHeight="1">
      <c r="B92" s="11" t="str">
        <f>IF(D58="なし","","パッカー取付加工")</f>
        <v/>
      </c>
      <c r="C92" s="42"/>
      <c r="D92" s="37"/>
      <c r="E92" s="37"/>
      <c r="F92" s="38"/>
      <c r="G92" s="131" t="str">
        <f>IF(B92="","","N=1")</f>
        <v/>
      </c>
      <c r="H92" s="66"/>
      <c r="I92" s="54"/>
      <c r="J92" s="12" t="s">
        <v>27</v>
      </c>
      <c r="K92" s="133" t="str">
        <f>IF(D54="　","",MID(G92,3,2))</f>
        <v/>
      </c>
      <c r="L92" s="11" t="str">
        <f>IF(K92="","",D59*K92)</f>
        <v/>
      </c>
    </row>
    <row r="93" spans="2:12" ht="12" customHeight="1">
      <c r="B93" s="14" t="s">
        <v>30</v>
      </c>
      <c r="C93" s="43" t="s">
        <v>31</v>
      </c>
      <c r="D93" s="40"/>
      <c r="E93" s="40"/>
      <c r="F93" s="41"/>
      <c r="G93" s="59" t="s">
        <v>56</v>
      </c>
      <c r="H93" s="67"/>
      <c r="I93" s="108"/>
      <c r="J93" s="2" t="s">
        <v>55</v>
      </c>
      <c r="K93" s="31">
        <f>IFERROR(MROUND(0.25*PI()*(0.001*D69)^2*(D61+D62+D67+D66)*(1+2.2),0.01),"")</f>
        <v>0.2</v>
      </c>
      <c r="L93" s="31">
        <f>IFERROR(D59*K93,"")</f>
        <v>2</v>
      </c>
    </row>
    <row r="96" spans="2:12" ht="12" customHeight="1">
      <c r="B96" s="251" t="s">
        <v>88</v>
      </c>
      <c r="C96" s="251"/>
      <c r="D96" s="251"/>
    </row>
    <row r="97" spans="2:12" ht="12" customHeight="1">
      <c r="B97" s="15" t="s">
        <v>111</v>
      </c>
      <c r="C97" s="15"/>
      <c r="D97" s="1"/>
      <c r="E97" s="1"/>
      <c r="F97" s="1"/>
      <c r="I97" s="119"/>
      <c r="K97" s="118"/>
    </row>
    <row r="98" spans="2:12" ht="12" customHeight="1">
      <c r="B98" s="111" t="s">
        <v>129</v>
      </c>
      <c r="C98" s="3"/>
      <c r="D98" s="1"/>
      <c r="E98" s="1"/>
      <c r="F98" s="1"/>
      <c r="G98" s="8"/>
      <c r="H98" s="8"/>
      <c r="I98" s="102"/>
      <c r="J98" s="28"/>
      <c r="K98" s="118"/>
    </row>
    <row r="99" spans="2:12" ht="12" customHeight="1">
      <c r="B99" s="15" t="s">
        <v>40</v>
      </c>
      <c r="C99" s="3"/>
      <c r="D99" s="1"/>
      <c r="E99" s="1"/>
      <c r="F99" s="1"/>
      <c r="G99" s="15" t="s">
        <v>54</v>
      </c>
      <c r="H99" s="15"/>
      <c r="I99" s="102"/>
      <c r="J99" s="28"/>
    </row>
    <row r="100" spans="2:12" ht="12" customHeight="1">
      <c r="B100" s="2" t="s">
        <v>53</v>
      </c>
      <c r="C100" s="2" t="s">
        <v>21</v>
      </c>
      <c r="D100" s="2" t="s">
        <v>22</v>
      </c>
      <c r="E100" s="2" t="s">
        <v>84</v>
      </c>
      <c r="F100" s="17"/>
      <c r="G100" s="2" t="s">
        <v>41</v>
      </c>
      <c r="H100" s="97" t="s">
        <v>59</v>
      </c>
      <c r="I100" s="49" t="s">
        <v>44</v>
      </c>
      <c r="J100" s="2" t="s">
        <v>21</v>
      </c>
      <c r="K100" s="49" t="s">
        <v>29</v>
      </c>
      <c r="L100" s="2" t="s">
        <v>28</v>
      </c>
    </row>
    <row r="101" spans="2:12" ht="12" customHeight="1">
      <c r="B101" s="51" t="s">
        <v>37</v>
      </c>
      <c r="C101" s="50" t="s">
        <v>38</v>
      </c>
      <c r="D101" s="70" t="s">
        <v>85</v>
      </c>
      <c r="E101" s="137" t="s">
        <v>71</v>
      </c>
      <c r="F101" s="17"/>
      <c r="G101" s="86" t="str">
        <f>IF(D114=0,"",G102)</f>
        <v/>
      </c>
      <c r="H101" s="87" t="str">
        <f>IF(D114=0,"",H103&amp;" (背面管部）")</f>
        <v/>
      </c>
      <c r="I101" s="88" t="str">
        <f>IF(D114=0,"",D115)</f>
        <v/>
      </c>
      <c r="J101" s="89" t="str">
        <f>IF(D114=0,"","m")</f>
        <v/>
      </c>
      <c r="K101" s="90" t="str">
        <f>IF(D114=0,"",D114)</f>
        <v/>
      </c>
      <c r="L101" s="29" t="str">
        <f>IF(D114=0,"",D106*K101)</f>
        <v/>
      </c>
    </row>
    <row r="102" spans="2:12" ht="12" customHeight="1">
      <c r="B102" s="52" t="s">
        <v>39</v>
      </c>
      <c r="C102" s="91" t="s">
        <v>38</v>
      </c>
      <c r="D102" s="71" t="s">
        <v>60</v>
      </c>
      <c r="E102" s="138"/>
      <c r="F102" s="17"/>
      <c r="G102" s="68" t="s">
        <v>43</v>
      </c>
      <c r="H102" s="68" t="s">
        <v>104</v>
      </c>
      <c r="I102" s="88" t="str" cm="1">
        <f t="array" ref="I102">_xlfn.IFS(AND(G102&lt;&gt;"非削孔",G102&lt;&gt;"無設定"),D116,G102="非削孔",IF(MID(B103,1,3)="土留め","非削孔","箱抜き"),G102="無設定","無設定")</f>
        <v>箱抜き</v>
      </c>
      <c r="J102" s="23" t="str">
        <f>IF(G102="無設定","","m")</f>
        <v>m</v>
      </c>
      <c r="K102" s="69">
        <v>0.6</v>
      </c>
      <c r="L102" s="30">
        <f>D106*K102</f>
        <v>6</v>
      </c>
    </row>
    <row r="103" spans="2:12" ht="12" customHeight="1">
      <c r="B103" s="115" t="s">
        <v>86</v>
      </c>
      <c r="C103" s="91" t="s">
        <v>38</v>
      </c>
      <c r="D103" s="83" t="s">
        <v>51</v>
      </c>
      <c r="E103" s="139" t="str">
        <f>IF(OR(MID(B103,1,3)&lt;&gt;"土留め",D103="なし"),"","腹起し")</f>
        <v/>
      </c>
      <c r="F103" s="140"/>
      <c r="G103" s="68" t="s">
        <v>92</v>
      </c>
      <c r="H103" s="68" t="s">
        <v>105</v>
      </c>
      <c r="I103" s="88" cm="1">
        <f t="array" ref="I103">_xlfn.IFS(AND(G103&lt;&gt;"非削孔",G103&lt;&gt;"無設定"),D116,G103="非削孔","箱抜き",G103="無設定","無設定")</f>
        <v>90</v>
      </c>
      <c r="J103" s="23" t="str">
        <f t="shared" ref="J103:J111" si="3">IF(G103="無設定","","m")</f>
        <v>m</v>
      </c>
      <c r="K103" s="69">
        <v>4.5270000000000001</v>
      </c>
      <c r="L103" s="30">
        <f>D106*K103</f>
        <v>45.27</v>
      </c>
    </row>
    <row r="104" spans="2:12" ht="12" customHeight="1">
      <c r="B104" s="114" t="str">
        <f>IF(OR(MID(B103,1,3)&lt;&gt;"土留め",D103="なし"),"",B103&amp;"の種類")</f>
        <v/>
      </c>
      <c r="C104" s="91" t="s">
        <v>38</v>
      </c>
      <c r="D104" s="113" t="s">
        <v>71</v>
      </c>
      <c r="E104" s="122" t="s">
        <v>71</v>
      </c>
      <c r="F104" s="141"/>
      <c r="G104" s="68" t="s">
        <v>87</v>
      </c>
      <c r="H104" s="68" t="s">
        <v>106</v>
      </c>
      <c r="I104" s="88" cm="1">
        <f t="array" ref="I104">_xlfn.IFS(AND(G104&lt;&gt;"非削孔",G104&lt;&gt;"無設定"),D116,G104="非削孔","箱抜き",G104="無設定","無設定")</f>
        <v>90</v>
      </c>
      <c r="J104" s="23" t="str">
        <f t="shared" si="3"/>
        <v>m</v>
      </c>
      <c r="K104" s="69">
        <v>4.1379999999999999</v>
      </c>
      <c r="L104" s="30">
        <f>D106*K104</f>
        <v>41.379999999999995</v>
      </c>
    </row>
    <row r="105" spans="2:12" ht="12" customHeight="1">
      <c r="B105" s="147" t="s">
        <v>50</v>
      </c>
      <c r="C105" s="91" t="s">
        <v>38</v>
      </c>
      <c r="D105" s="83" t="s">
        <v>51</v>
      </c>
      <c r="E105" s="102"/>
      <c r="F105" s="21"/>
      <c r="G105" s="68" t="s">
        <v>49</v>
      </c>
      <c r="H105" s="68" t="s">
        <v>107</v>
      </c>
      <c r="I105" s="88" cm="1">
        <f t="array" ref="I105">_xlfn.IFS(AND(G105&lt;&gt;"非削孔",G105&lt;&gt;"無設定"),D116,G105="非削孔","箱抜き",G105="無設定","無設定")</f>
        <v>90</v>
      </c>
      <c r="J105" s="23" t="str">
        <f t="shared" si="3"/>
        <v>m</v>
      </c>
      <c r="K105" s="69">
        <v>7.2350000000000003</v>
      </c>
      <c r="L105" s="30">
        <f>D106*K105</f>
        <v>72.350000000000009</v>
      </c>
    </row>
    <row r="106" spans="2:12" ht="12" customHeight="1">
      <c r="B106" s="157" t="s">
        <v>25</v>
      </c>
      <c r="C106" s="158" t="s">
        <v>24</v>
      </c>
      <c r="D106" s="162">
        <v>10</v>
      </c>
      <c r="E106" s="19"/>
      <c r="F106" s="21"/>
      <c r="G106" s="68" t="s">
        <v>48</v>
      </c>
      <c r="H106" s="68"/>
      <c r="I106" s="88" t="str" cm="1">
        <f t="array" ref="I106">_xlfn.IFS(AND(G106&lt;&gt;"非削孔",G106&lt;&gt;"無設定"),D116,G106="非削孔","箱抜き",G106="無設定","無設定")</f>
        <v>無設定</v>
      </c>
      <c r="J106" s="23" t="str">
        <f t="shared" si="3"/>
        <v/>
      </c>
      <c r="K106" s="69">
        <v>0</v>
      </c>
      <c r="L106" s="30">
        <f>D106*K106</f>
        <v>0</v>
      </c>
    </row>
    <row r="107" spans="2:12" ht="12" customHeight="1">
      <c r="B107" s="160" t="str" cm="1">
        <f t="array" ref="B107">"頭部自由長("&amp;_xlfn.IFS(AND(MID(B103,1,3)="土留め",D103="あり"),"腹起し+台座",AND(MID(B103,1,3)="土留め",D103="なし"),"台座なし",AND(MID(B103,1,3)="構造物",D103="あり"),"壁面台座",AND(MID(B103,1,3)="構造物",D103="なし"),"台座なし",AND(MID(B103,1,3)="のり面",D103="あり"),"角度台座＋受圧体",AND(MID(B103,1,3)="のり面",D103="なし"),"受圧体")&amp;")　"&amp;"Lfh"</f>
        <v>頭部自由長(受圧体)　Lfh</v>
      </c>
      <c r="C107" s="155" t="s">
        <v>23</v>
      </c>
      <c r="D107" s="161">
        <v>0.5</v>
      </c>
      <c r="E107" s="21"/>
      <c r="F107" s="21"/>
      <c r="G107" s="68" t="s">
        <v>48</v>
      </c>
      <c r="H107" s="68"/>
      <c r="I107" s="88" t="str" cm="1">
        <f t="array" ref="I107">_xlfn.IFS(AND(G107&lt;&gt;"非削孔",G107&lt;&gt;"無設定"),D116,G107="非削孔","箱抜き",G107="無設定","無設定")</f>
        <v>無設定</v>
      </c>
      <c r="J107" s="23" t="str">
        <f t="shared" si="3"/>
        <v/>
      </c>
      <c r="K107" s="69">
        <v>0</v>
      </c>
      <c r="L107" s="30">
        <f>D106*K107</f>
        <v>0</v>
      </c>
    </row>
    <row r="108" spans="2:12" ht="12" customHeight="1">
      <c r="B108" s="22" t="s">
        <v>108</v>
      </c>
      <c r="C108" s="23" t="s">
        <v>23</v>
      </c>
      <c r="D108" s="47">
        <v>10</v>
      </c>
      <c r="E108" s="21"/>
      <c r="F108" s="21"/>
      <c r="G108" s="68" t="s">
        <v>48</v>
      </c>
      <c r="H108" s="68"/>
      <c r="I108" s="88" t="str" cm="1">
        <f t="array" ref="I108">_xlfn.IFS(AND(G108&lt;&gt;"非削孔",G108&lt;&gt;"無設定"),#REF!,G108="非削孔","箱抜き",G108="無設定","無設定")</f>
        <v>無設定</v>
      </c>
      <c r="J108" s="23" t="str">
        <f t="shared" si="3"/>
        <v/>
      </c>
      <c r="K108" s="69">
        <v>0</v>
      </c>
      <c r="L108" s="30">
        <f>D106*K108</f>
        <v>0</v>
      </c>
    </row>
    <row r="109" spans="2:12" ht="12" customHeight="1">
      <c r="B109" s="157" t="s">
        <v>36</v>
      </c>
      <c r="C109" s="158" t="s">
        <v>23</v>
      </c>
      <c r="D109" s="159">
        <v>6</v>
      </c>
      <c r="E109" s="21"/>
      <c r="F109" s="21"/>
      <c r="G109" s="68" t="s">
        <v>48</v>
      </c>
      <c r="H109" s="68"/>
      <c r="I109" s="88" t="str" cm="1">
        <f t="array" ref="I109">_xlfn.IFS(AND(G109&lt;&gt;"非削孔",G109&lt;&gt;"無設定"),D116,G109="非削孔","箱抜き",G109="無設定","無設定")</f>
        <v>無設定</v>
      </c>
      <c r="J109" s="23" t="str">
        <f t="shared" si="3"/>
        <v/>
      </c>
      <c r="K109" s="69">
        <v>0</v>
      </c>
      <c r="L109" s="30">
        <f>D106*K109</f>
        <v>0</v>
      </c>
    </row>
    <row r="110" spans="2:12" ht="12" customHeight="1">
      <c r="B110" s="154" t="s">
        <v>69</v>
      </c>
      <c r="C110" s="155" t="s">
        <v>23</v>
      </c>
      <c r="D110" s="156" cm="1">
        <f t="array" ref="D110">IF(D101="　","──",_xlfn.IFS(AND(MID(D101,4,1)="5",1*MID(D101,6,2)&lt;8),1,AND(MID(D101,4,1)="5",1*MID(D101,6,2)&gt;7),1.5,AND(MID(D101,4,1)="6",1*MID(D101,6,2)&lt;6),1,AND(MID(D101,4,1)="6",1*MID(D101,6,2)&gt;5),1.5))</f>
        <v>1</v>
      </c>
      <c r="E110" s="21"/>
      <c r="G110" s="68" t="s">
        <v>48</v>
      </c>
      <c r="H110" s="68"/>
      <c r="I110" s="88" t="str" cm="1">
        <f t="array" ref="I110">_xlfn.IFS(AND(G110&lt;&gt;"非削孔",G110&lt;&gt;"無設定"),D116,G110="非削孔","箱抜き",G110="無設定","無設定")</f>
        <v>無設定</v>
      </c>
      <c r="J110" s="23" t="str">
        <f t="shared" si="3"/>
        <v/>
      </c>
      <c r="K110" s="69">
        <v>0</v>
      </c>
      <c r="L110" s="30">
        <f>D106*K110</f>
        <v>0</v>
      </c>
    </row>
    <row r="111" spans="2:12" ht="12" customHeight="1">
      <c r="B111" s="22" t="s">
        <v>125</v>
      </c>
      <c r="C111" s="23" t="s">
        <v>35</v>
      </c>
      <c r="D111" s="84">
        <f>IF(D101="　","──",0.2)</f>
        <v>0.2</v>
      </c>
      <c r="E111" s="120"/>
      <c r="F111" s="19"/>
      <c r="G111" s="99" t="str" cm="1">
        <f t="array" ref="G111">INDEX(G102:I110,MATCH("無設定",G102:G110,0)-1,MATCH(G100,G100:I100,0))</f>
        <v>軟　岩</v>
      </c>
      <c r="H111" s="100" t="str" cm="1">
        <f t="array" ref="H111">INDEX(G102:I110,MATCH("無設定",G102:G110,0)-1,MATCH(H100,G100:I100,0))&amp;"　(先端長 L2d)"</f>
        <v>風化岩　(先端長 L2d)</v>
      </c>
      <c r="I111" s="88" cm="1">
        <f t="array" ref="I111">INDEX(G102:I110,MATCH("無設定",G102:G110,0)-1,MATCH(I100,G100:I100,0))</f>
        <v>90</v>
      </c>
      <c r="J111" s="23" t="str">
        <f t="shared" si="3"/>
        <v>m</v>
      </c>
      <c r="K111" s="98">
        <f>D113</f>
        <v>0.25</v>
      </c>
      <c r="L111" s="78">
        <f>IFERROR(D106*K111,"")</f>
        <v>2.5</v>
      </c>
    </row>
    <row r="112" spans="2:12" ht="12" customHeight="1">
      <c r="B112" s="6" t="s">
        <v>126</v>
      </c>
      <c r="C112" s="23" t="s">
        <v>23</v>
      </c>
      <c r="D112" s="60">
        <f>IF(D101="　","──",SUM(D108:D110))</f>
        <v>17</v>
      </c>
      <c r="E112" s="121"/>
      <c r="F112" s="19"/>
      <c r="G112" s="72"/>
      <c r="H112" s="75" t="s">
        <v>124</v>
      </c>
      <c r="I112" s="103"/>
      <c r="J112" s="18" t="s">
        <v>23</v>
      </c>
      <c r="K112" s="74">
        <f>SUMIFS(K101:K111,G101:G111,"&lt;&gt;非削孔",G101:G111,"&lt;&gt;無設定")</f>
        <v>16.149999999999999</v>
      </c>
      <c r="L112" s="95">
        <f>SUMIFS(L101:L111,G101:G111,"&lt;&gt;非削孔",G101:G111,"&lt;&gt;無設定")</f>
        <v>161.5</v>
      </c>
    </row>
    <row r="113" spans="2:12" ht="12" customHeight="1">
      <c r="B113" s="25" t="s">
        <v>127</v>
      </c>
      <c r="C113" s="26" t="s">
        <v>23</v>
      </c>
      <c r="D113" s="27">
        <f>IF(D101="　","──",$N$1)</f>
        <v>0.25</v>
      </c>
      <c r="E113" s="121"/>
      <c r="F113" s="19"/>
      <c r="G113" s="73"/>
      <c r="H113" s="76" t="s">
        <v>47</v>
      </c>
      <c r="I113" s="104"/>
      <c r="J113" s="79" t="s">
        <v>46</v>
      </c>
      <c r="K113" s="77" t="str">
        <f>IF(D101="　","",IF(SUM(D107:D109,D114,D113)=K112+SUMIFS(K101:K111,G101:G111,"=非削孔"),"OK","NG"))</f>
        <v>OK</v>
      </c>
      <c r="L113" s="145" t="str">
        <f>IF(K113&lt;&gt;"NG","──",K112+SUMIFS(K101:K111,G101:G111,"=非削孔")-SUM(D107:D109,D114,D113))</f>
        <v>──</v>
      </c>
    </row>
    <row r="114" spans="2:12" ht="12" customHeight="1">
      <c r="B114" s="22" t="s">
        <v>73</v>
      </c>
      <c r="C114" s="23" t="s">
        <v>35</v>
      </c>
      <c r="D114" s="85">
        <v>0</v>
      </c>
      <c r="E114" s="123"/>
      <c r="F114" s="19"/>
      <c r="G114" s="94" t="s">
        <v>58</v>
      </c>
      <c r="H114" s="252" t="s">
        <v>110</v>
      </c>
      <c r="I114" s="253"/>
      <c r="J114" s="253"/>
      <c r="K114" s="253"/>
      <c r="L114" s="254"/>
    </row>
    <row r="115" spans="2:12" ht="12" customHeight="1">
      <c r="B115" s="22" t="str">
        <f>IF(D101="　","",IF(D114=0,"","頭部背面管削孔径　Dh"))</f>
        <v/>
      </c>
      <c r="C115" s="23" t="str">
        <f>IF(D101="　","",IF(D114=0,"","mm"))</f>
        <v/>
      </c>
      <c r="D115" s="93" t="str" cm="1">
        <f t="array" ref="D115">IF(D101="　","",IF(D114=0,"",IF(MID(D101,4,1)="5",_xlfn.IFS(VALUE(MID(D101,6,2))&lt;7,115,VALUE(MID(D101,6,2))&gt;6,135),"未設定")))</f>
        <v/>
      </c>
      <c r="E115" s="121"/>
      <c r="F115" s="1"/>
      <c r="G115" s="8"/>
      <c r="H115" s="8"/>
      <c r="I115" s="102"/>
    </row>
    <row r="116" spans="2:12" ht="12" customHeight="1">
      <c r="B116" s="95" t="s">
        <v>123</v>
      </c>
      <c r="C116" s="18" t="s">
        <v>32</v>
      </c>
      <c r="D116" s="153">
        <v>90</v>
      </c>
      <c r="E116" s="151"/>
      <c r="F116" s="1"/>
      <c r="G116" s="8"/>
      <c r="H116" s="8"/>
      <c r="I116" s="102"/>
    </row>
    <row r="117" spans="2:12" ht="12" customHeight="1">
      <c r="B117" s="25" t="s">
        <v>122</v>
      </c>
      <c r="C117" s="26" t="s">
        <v>32</v>
      </c>
      <c r="D117" s="152" cm="1">
        <f t="array" ref="D117">IF(D101="　","──",IF(D105="なし",IF(MID(D101,4,1)="5",_xlfn.IFS(VALUE(MID(D101,6,2))&lt;6,90,VALUE(MID(D101,6,2))&lt;9,115,VALUE(MID(D101,6,2))&gt;8,135),_xlfn.IFS(VALUE(MID(D101,6,2))&lt;4,90,VALUE(MID(D101,6,2))&lt;10,135,VALUE(MID(D101,6,2))&gt;9,146)),IF(MID(D101,4,1)="5",_xlfn.IFS(VALUE(MID(D101,6,2))&lt;3,90,VALUE(MID(D101,6,2))&lt;7,115,VALUE(MID(D101,6,2))&lt;10,135,VALUE(MID(D101,6,2))&gt;9,146),_xlfn.IFS(VALUE(MID(D101,6,2))&lt;3,90,VALUE(MID(D101,6,2))&lt;4,115,VALUE(MID(D101,6,2))&lt;6,135,VALUE(MID(D101,6,2))&lt;10,146,VALUE(MID(D101,6,2))&gt;9,165))))</f>
        <v>90</v>
      </c>
      <c r="E117" s="117"/>
      <c r="F117" s="1"/>
      <c r="G117" s="8"/>
      <c r="H117" s="8"/>
      <c r="I117" s="102"/>
    </row>
    <row r="118" spans="2:12" ht="12" customHeight="1">
      <c r="E118" s="117"/>
      <c r="F118" s="1"/>
      <c r="G118" s="8"/>
      <c r="H118" s="8"/>
      <c r="I118" s="102"/>
    </row>
    <row r="119" spans="2:12" ht="12" customHeight="1">
      <c r="B119" s="15" t="str">
        <f>"■"&amp;MID(B96,2,13)</f>
        <v>■長期：EHDアンカー数量表</v>
      </c>
      <c r="C119" s="3"/>
      <c r="D119" s="1"/>
      <c r="E119" s="1"/>
      <c r="F119" s="1"/>
      <c r="G119" s="8"/>
      <c r="H119" s="8"/>
      <c r="I119" s="102"/>
    </row>
    <row r="120" spans="2:12" ht="12" customHeight="1">
      <c r="B120" s="2" t="s">
        <v>17</v>
      </c>
      <c r="C120" s="43"/>
      <c r="D120" s="134"/>
      <c r="E120" s="61" t="s">
        <v>78</v>
      </c>
      <c r="F120" s="135"/>
      <c r="G120" s="16"/>
      <c r="H120" s="61" t="s">
        <v>42</v>
      </c>
      <c r="I120" s="97"/>
      <c r="J120" s="2" t="s">
        <v>21</v>
      </c>
      <c r="K120" s="49" t="s">
        <v>29</v>
      </c>
      <c r="L120" s="2" t="s">
        <v>28</v>
      </c>
    </row>
    <row r="121" spans="2:12" ht="12" customHeight="1">
      <c r="B121" s="4" t="s">
        <v>19</v>
      </c>
      <c r="C121" s="39" t="str">
        <f>IF(D101="　","",D101&amp;" ("&amp;MID(D101,6,2)&amp;IF(MID(D101,4,1)="5","φ12.7","φ15.2")&amp;")")</f>
        <v>EHD5-4 (4φ12.7)</v>
      </c>
      <c r="D121" s="32"/>
      <c r="E121" s="32"/>
      <c r="F121" s="33"/>
      <c r="G121" s="55" t="str">
        <f>"W=(テンドン長+先端長0.2m)×鋼線本数×"&amp;IF(MID(D101,4,1)="5","0.774","1.101")&amp;"kg/m"</f>
        <v>W=(テンドン長+先端長0.2m)×鋼線本数×0.774kg/m</v>
      </c>
      <c r="H121" s="62"/>
      <c r="I121" s="105"/>
      <c r="J121" s="5" t="s">
        <v>11</v>
      </c>
      <c r="K121" s="29">
        <f>IF(D101="　","",MROUND((D112+D111)*MID(D101,6,2)*IF(MID(D101,4,1)="5","0.774","1.101"),0.01))</f>
        <v>53.25</v>
      </c>
      <c r="L121" s="29">
        <f>IFERROR(D106*K121,"")</f>
        <v>532.5</v>
      </c>
    </row>
    <row r="122" spans="2:12" ht="12" customHeight="1">
      <c r="B122" s="6" t="s">
        <v>20</v>
      </c>
      <c r="C122" s="34"/>
      <c r="D122" s="35"/>
      <c r="E122" s="35"/>
      <c r="F122" s="36"/>
      <c r="G122" s="56" t="s">
        <v>33</v>
      </c>
      <c r="H122" s="63"/>
      <c r="I122" s="106"/>
      <c r="J122" s="7" t="s">
        <v>12</v>
      </c>
      <c r="K122" s="30">
        <f>IF(D101="　","",MROUND(D112,0.1))</f>
        <v>17</v>
      </c>
      <c r="L122" s="30">
        <f>IFERROR(D106*K122,"")</f>
        <v>170</v>
      </c>
    </row>
    <row r="123" spans="2:12" ht="12" customHeight="1">
      <c r="B123" s="6" t="s">
        <v>0</v>
      </c>
      <c r="C123" s="34" t="str">
        <f>IF(D101="　","","16/20")</f>
        <v>16/20</v>
      </c>
      <c r="D123" s="35"/>
      <c r="E123" s="35"/>
      <c r="F123" s="36"/>
      <c r="G123" s="56" t="s">
        <v>33</v>
      </c>
      <c r="H123" s="63"/>
      <c r="I123" s="106"/>
      <c r="J123" s="7" t="s">
        <v>12</v>
      </c>
      <c r="K123" s="30">
        <f>IF(D101="　","",MROUND(D112,0.1))</f>
        <v>17</v>
      </c>
      <c r="L123" s="30">
        <f>IFERROR(D106*K123,"")</f>
        <v>170</v>
      </c>
    </row>
    <row r="124" spans="2:12" ht="12" customHeight="1">
      <c r="B124" s="6" t="s">
        <v>1</v>
      </c>
      <c r="C124" s="34" t="str" cm="1">
        <f t="array" ref="C124">IF(D101="　","",IF(MID(D101,4,1)="5",_xlfn.IFS(VALUE(MID(D101,6,2))&lt;5,"5-4",VALUE(MID(D101,6,2))&lt;8,"5-7",VALUE(MID(D101,6,2))&lt;10,"5-9",VALUE(MID(D101,6,2))&gt;9,"5-12"),_xlfn.IFS(VALUE(MID(D101,6,2))&lt;8,"6-7",VALUE(MID(D101,6,2))&lt;13,"6-12",VALUE(MID(D101,6,2))&gt;12,"6-19"))&amp;"用、ポリプロピレン")</f>
        <v>5-4用、ポリプロピレン</v>
      </c>
      <c r="D124" s="35"/>
      <c r="E124" s="35"/>
      <c r="F124" s="36"/>
      <c r="G124" s="52" t="str">
        <f>"N=1"</f>
        <v>N=1</v>
      </c>
      <c r="H124" s="64"/>
      <c r="I124" s="53"/>
      <c r="J124" s="7" t="s">
        <v>13</v>
      </c>
      <c r="K124" s="130" t="str">
        <f>IF(D101="　","",MID(G124,3,2))</f>
        <v>1</v>
      </c>
      <c r="L124" s="30">
        <f>IFERROR(D106*K124,"")</f>
        <v>10</v>
      </c>
    </row>
    <row r="125" spans="2:12" ht="12" customHeight="1">
      <c r="B125" s="6" t="s">
        <v>2</v>
      </c>
      <c r="C125" s="34" t="str" cm="1">
        <f t="array" ref="C125">IF(D101="　","",IF(MID(D101,4,1)="5",_xlfn.IFS(VALUE(MID(D101,6,2))&lt;6,"5-5",VALUE(MID(D101,6,2))&lt;9,"5-8",VALUE(MID(D101,6,2))&gt;8,"5-12"),_xlfn.IFS(VALUE(MID(D101,6,2))&lt;13,"6-12",VALUE(MID(D101,6,2))&lt;17,"6-16",VALUE(MID(D101,6,2))&gt;16,"6-20"))&amp;"用、ポリプロピレン")</f>
        <v>5-5用、ポリプロピレン</v>
      </c>
      <c r="D125" s="35"/>
      <c r="E125" s="35"/>
      <c r="F125" s="36"/>
      <c r="G125" s="127" t="s">
        <v>120</v>
      </c>
      <c r="H125" s="63"/>
      <c r="I125" s="106"/>
      <c r="J125" s="7" t="s">
        <v>13</v>
      </c>
      <c r="K125" s="6">
        <f>IF(D101="　","",MROUND((D109-0.5)/1,1))</f>
        <v>6</v>
      </c>
      <c r="L125" s="30">
        <f>IFERROR(D106*K125,"")</f>
        <v>60</v>
      </c>
    </row>
    <row r="126" spans="2:12" ht="12" customHeight="1">
      <c r="B126" s="6" t="s">
        <v>3</v>
      </c>
      <c r="C126" s="34" t="str">
        <f>IF(D101="　","","AB350")</f>
        <v>AB350</v>
      </c>
      <c r="D126" s="35"/>
      <c r="E126" s="35"/>
      <c r="F126" s="36"/>
      <c r="G126" s="127" t="s">
        <v>34</v>
      </c>
      <c r="H126" s="63"/>
      <c r="I126" s="106"/>
      <c r="J126" s="7" t="s">
        <v>14</v>
      </c>
      <c r="K126" s="6">
        <f>IF(D101="　","",2*K125)</f>
        <v>12</v>
      </c>
      <c r="L126" s="30">
        <f>IFERROR(D106*K126,"")</f>
        <v>120</v>
      </c>
    </row>
    <row r="127" spans="2:12" ht="12" customHeight="1">
      <c r="B127" s="6" t="s">
        <v>4</v>
      </c>
      <c r="C127" s="34"/>
      <c r="D127" s="35"/>
      <c r="E127" s="35"/>
      <c r="F127" s="36"/>
      <c r="G127" s="127" t="str">
        <f>IF(D101="　","","L=((自由長+緊張余長)÷@1.0m)×ﾃﾝﾄﾞﾝ係数"&amp;IF(MID(D101,4,1)="5",_xlfn.IFS(VALUE(MID(D101,6,2))=1,"0.6",VALUE(MID(D101,6,2))&lt;5,"1.0",VALUE(MID(D101,6,2))&lt;8,"1.1",VALUE(MID(D101,6,2))&gt;7,"1.2"),_xlfn.IFS(VALUE(MID(D101,6,2))=1,"0.7",VALUE(MID(D101,6,2))&lt;5,"1.1",VALUE(MID(D101,6,2))&lt;8,"1.2",VALUE(MID(D101,6,2))&gt;7,"1.3")))</f>
        <v>L=((自由長+緊張余長)÷@1.0m)×ﾃﾝﾄﾞﾝ係数1.0</v>
      </c>
      <c r="H127" s="63"/>
      <c r="I127" s="106"/>
      <c r="J127" s="7" t="s">
        <v>12</v>
      </c>
      <c r="K127" s="136">
        <f>IF(D101="　","",MROUND((SUM(D108,D107:D110))/1*RIGHT(G127, 3),0.1))</f>
        <v>27.5</v>
      </c>
      <c r="L127" s="30">
        <f>IFERROR(D106*K127,"")</f>
        <v>275</v>
      </c>
    </row>
    <row r="128" spans="2:12" ht="12" customHeight="1">
      <c r="B128" s="6" t="str">
        <f>"ヘッドキャップ"&amp;IF(LEFT(E101,2)="窓付"," (目視型)","")</f>
        <v>ヘッドキャップ</v>
      </c>
      <c r="C128" s="34" t="str" cm="1">
        <f t="array" ref="C128">IF(D101="　","",IF(MID(D101,4,1)="5",_xlfn.IFS(VALUE(MID(D101,6,2))&lt;5,"5-4",VALUE(MID(D101,6,2))&lt;8,"5-7",VALUE(MID(D101,6,2))&gt;7,"5-12"),"未設定")&amp;"用RN型、AC4C相当"&amp;IF(D102="防食Ⅱ","","、防食：タケコート処理"))</f>
        <v>5-4用RN型、AC4C相当</v>
      </c>
      <c r="D128" s="44"/>
      <c r="E128" s="44"/>
      <c r="F128" s="45"/>
      <c r="G128" s="52" t="str">
        <f>"N=1"</f>
        <v>N=1</v>
      </c>
      <c r="H128" s="64"/>
      <c r="I128" s="53"/>
      <c r="J128" s="7" t="s">
        <v>13</v>
      </c>
      <c r="K128" s="130" t="str">
        <f>IF(D101="　","",MID(G128,3,2))</f>
        <v>1</v>
      </c>
      <c r="L128" s="30">
        <f>IFERROR(D106*K128,"")</f>
        <v>10</v>
      </c>
    </row>
    <row r="129" spans="2:12" ht="12" customHeight="1">
      <c r="B129" s="6" t="s">
        <v>5</v>
      </c>
      <c r="C129" s="34" t="str" cm="1">
        <f t="array" ref="C129">IF(D101="　","",IF(MID(D101,4,1)="5",_xlfn.IFS(VALUE(MID(D101,6,2))&lt;3,"5-2",VALUE(MID(D101,6,2))&lt;4,"5-3",VALUE(MID(D101,6,2))&lt;5,"5-4",VALUE(MID(D101,6,2))&lt;8,"5-7",VALUE(MID(D101,6,2))&lt;10,"5-9",VALUE(MID(D101,6,2))&gt;9,"5-12"),_xlfn.IFS(VALUE(MID(D101,6,2))&lt;8,"6-7",VALUE(MID(D101,6,2))&gt;7,"6-12"))&amp;"用、S45C相当")</f>
        <v>5-4用、S45C相当</v>
      </c>
      <c r="D129" s="35"/>
      <c r="E129" s="35"/>
      <c r="F129" s="36"/>
      <c r="G129" s="52" t="str">
        <f>"N=1"</f>
        <v>N=1</v>
      </c>
      <c r="H129" s="64"/>
      <c r="I129" s="53"/>
      <c r="J129" s="7" t="s">
        <v>13</v>
      </c>
      <c r="K129" s="130" t="str">
        <f>IF(D101="　","",MID(G129,3,2))</f>
        <v>1</v>
      </c>
      <c r="L129" s="30">
        <f>IFERROR(D106*K129,"")</f>
        <v>10</v>
      </c>
    </row>
    <row r="130" spans="2:12" ht="12" customHeight="1">
      <c r="B130" s="6" t="s">
        <v>6</v>
      </c>
      <c r="C130" s="34" t="str" cm="1">
        <f t="array" ref="C130">IF(D101="　","",IF(MID(D101,4,1)="5",_xlfn.IFS(VALUE(MID(D101,6,2))&lt;3,"5-2",VALUE(MID(D101,6,2))&lt;4,"5-3",VALUE(MID(D101,6,2))&lt;5,"5-4",VALUE(MID(D101,6,2))&lt;8,"5-7",VALUE(MID(D101,6,2))&lt;10,"5-9",VALUE(MID(D101,6,2))&gt;9,"5-12"),_xlfn.IFS(VALUE(MID(D101,6,2))&lt;8,"6-7",VALUE(MID(D101,6,2))&gt;7,"6-12"))&amp;"用、S45C相当")</f>
        <v>5-4用、S45C相当</v>
      </c>
      <c r="D130" s="35"/>
      <c r="E130" s="35"/>
      <c r="F130" s="36"/>
      <c r="G130" s="52" t="str">
        <f>"N=1"</f>
        <v>N=1</v>
      </c>
      <c r="H130" s="64"/>
      <c r="I130" s="53"/>
      <c r="J130" s="7" t="s">
        <v>13</v>
      </c>
      <c r="K130" s="130" t="str">
        <f>IF(D101="　","",MID(G130,3,2))</f>
        <v>1</v>
      </c>
      <c r="L130" s="30">
        <f>IFERROR(D106*K130,"")</f>
        <v>10</v>
      </c>
    </row>
    <row r="131" spans="2:12" ht="12" customHeight="1">
      <c r="B131" s="6" t="s">
        <v>7</v>
      </c>
      <c r="C131" s="34" t="str">
        <f>IF(D101="　","",D101&amp;"用、SCM415相当")</f>
        <v>EHD5-4用、SCM415相当</v>
      </c>
      <c r="D131" s="35"/>
      <c r="E131" s="35"/>
      <c r="F131" s="36"/>
      <c r="G131" s="52" t="str">
        <f>IF(D101="　","","N="&amp;VALUE(MID(D101,6,2)))</f>
        <v>N=4</v>
      </c>
      <c r="H131" s="64"/>
      <c r="I131" s="53"/>
      <c r="J131" s="7" t="s">
        <v>15</v>
      </c>
      <c r="K131" s="130" t="str">
        <f>IF(D101="　","",MID(G131,3,2))</f>
        <v>4</v>
      </c>
      <c r="L131" s="30">
        <f>IFERROR(D106*K131,"")</f>
        <v>40</v>
      </c>
    </row>
    <row r="132" spans="2:12" ht="12" customHeight="1">
      <c r="B132" s="6" t="s">
        <v>18</v>
      </c>
      <c r="C132" s="96" t="str" cm="1">
        <f t="array" ref="C132">IF(D101="　","",IF(MID(D101,4,1)="5",_xlfn.IFS(VALUE(MID(D101,6,2))&lt;3,"5-2",VALUE(MID(D101,6,2))&lt;4,"5-3",VALUE(MID(D101,6,2))&lt;5,"5-4",VALUE(MID(D101,6,2))&lt;8,"5-7",VALUE(MID(D101,6,2))&lt;10,"5-9",VALUE(MID(D101,6,2))&gt;9,"5-12"),_xlfn.IFS(VALUE(MID(D101,6,2))&lt;4,"6-3",VALUE(MID(D101,6,2))&lt;8,"6-7",VALUE(MID(D101,6,2))&gt;7,"6-12"))&amp;"用、SS400・STKM13A相当、防食："&amp;IF(D102="防食Ⅱ","亜鉛めっき処理","ｱﾙﾐﾅｲｽﾞ処理"))</f>
        <v>5-4用、SS400・STKM13A相当、防食：亜鉛めっき処理</v>
      </c>
      <c r="D132" s="35"/>
      <c r="E132" s="35"/>
      <c r="F132" s="36"/>
      <c r="G132" s="52" t="str">
        <f>"N=1"</f>
        <v>N=1</v>
      </c>
      <c r="H132" s="64"/>
      <c r="I132" s="53"/>
      <c r="J132" s="7" t="s">
        <v>16</v>
      </c>
      <c r="K132" s="130" t="str">
        <f>IF(D101="　","",MID(G132,3,2))</f>
        <v>1</v>
      </c>
      <c r="L132" s="30">
        <f>IFERROR(D106*K132,"")</f>
        <v>10</v>
      </c>
    </row>
    <row r="133" spans="2:12" ht="12" customHeight="1">
      <c r="B133" s="6" t="s">
        <v>8</v>
      </c>
      <c r="C133" s="34" t="str">
        <f>IF(D101="　","",D101&amp;"用、NBR45相当")</f>
        <v>EHD5-4用、NBR45相当</v>
      </c>
      <c r="D133" s="35"/>
      <c r="E133" s="35"/>
      <c r="F133" s="36"/>
      <c r="G133" s="52" t="str">
        <f>"N=1"</f>
        <v>N=1</v>
      </c>
      <c r="H133" s="64"/>
      <c r="I133" s="53"/>
      <c r="J133" s="7" t="s">
        <v>13</v>
      </c>
      <c r="K133" s="130" t="str">
        <f>IF(D101="　","",MID(G133,3,2))</f>
        <v>1</v>
      </c>
      <c r="L133" s="30">
        <f>IFERROR(D106*K133,"")</f>
        <v>10</v>
      </c>
    </row>
    <row r="134" spans="2:12" ht="12" customHeight="1">
      <c r="B134" s="6" t="s">
        <v>9</v>
      </c>
      <c r="C134" s="34" t="str">
        <f>IF(D101="　","","EHD"&amp;IF(MID(D101,4,1)="5",_xlfn.IFS(VALUE(MID(D101,6,2))=3,"5-3",VALUE(MID(D101,6,2))&lt;5,"5-4",VALUE(MID(D101,6,2))&lt;8,"5-7",VALUE(MID(D101,6,2))&gt;7,"5-12"),_xlfn.IFS(VALUE(MID(D101,6,2))=3,"6-3",VALUE(MID(D101,6,2))&lt;5,"6-4",VALUE(MID(D101,6,2))&lt;8,"6-7",VALUE(MID(D101,6,2))&gt;7,"6-12"))&amp;"用、ポリエチレン")</f>
        <v>EHD5-4用、ポリエチレン</v>
      </c>
      <c r="D134" s="35"/>
      <c r="E134" s="35"/>
      <c r="F134" s="36"/>
      <c r="G134" s="52" t="str">
        <f>"N=1"</f>
        <v>N=1</v>
      </c>
      <c r="H134" s="64"/>
      <c r="I134" s="53"/>
      <c r="J134" s="7" t="s">
        <v>13</v>
      </c>
      <c r="K134" s="130" t="str">
        <f>IF(D101="　","",MID(G134,3,2))</f>
        <v>1</v>
      </c>
      <c r="L134" s="30">
        <f>IFERROR(D106*K134,"")</f>
        <v>10</v>
      </c>
    </row>
    <row r="135" spans="2:12" ht="12" customHeight="1">
      <c r="B135" s="6" t="s">
        <v>10</v>
      </c>
      <c r="C135" s="34" t="str">
        <f>IF(D101="　","","PCコート")</f>
        <v>PCコート</v>
      </c>
      <c r="D135" s="35"/>
      <c r="E135" s="35"/>
      <c r="F135" s="36"/>
      <c r="G135" s="149" t="str" cm="1">
        <f t="array" ref="G135">IF(D101="　","","W="&amp;IF(MID(D101,4,1)="5",_xlfn.IFS(VALUE(MID(D101,6,2))&lt;4,2,VALUE(MID(D101,6,2))&lt;5,2,VALUE(MID(D101,6,2))&lt;8,2.7,VALUE(MID(D101,6,2))&gt;7,5),_xlfn.IFS(VALUE(MID(D101,6,2))=1,2,VALUE(MID(D101,6,2))&lt;3,2,VALUE(MID(D101,6,2))&lt;5,2.7,VALUE(MID(D101,6,2))&lt;8,5,VALUE(MID(D101,6,2))&gt;7,12.3)))</f>
        <v>W=2</v>
      </c>
      <c r="H135" s="80"/>
      <c r="I135" s="81"/>
      <c r="J135" s="7" t="s">
        <v>11</v>
      </c>
      <c r="K135" s="132" t="str">
        <f>IF(D101="　","",MID(G135,3,4))</f>
        <v>2</v>
      </c>
      <c r="L135" s="30">
        <f>IFERROR(D106*K135,"")</f>
        <v>20</v>
      </c>
    </row>
    <row r="136" spans="2:12" ht="12" customHeight="1">
      <c r="B136" s="6" t="str">
        <f>IF(D103="なし","",B103)</f>
        <v/>
      </c>
      <c r="C136" s="56" t="str" cm="1">
        <f t="array" ref="C136">IF(D101="　","",IF(D103="なし","",_xlfn.IFS(MID(B103,1,3)="のり面",_xlfn.IFS(VALUE(MID(D101,6,2))&lt;5,"ST170",VALUE(MID(D101,6,2))&lt;8,"ST200",VALUE(MID(D101,6,2))&lt;13,"ST220")&amp;"、FCD450相当",OR(MID(B103,1,3)="構造物",MID(B103,1,3)="土留め"),D101&amp;"用"&amp;IF(OR(MID(B103,1,3)="構造物",D104="　"),"",D104&amp;"/"&amp;E104))&amp;"、防食："&amp;IF(D102="防食Ⅱ","亜鉛めっき処理","ｱﾙﾐﾅｲｽﾞ処理")))</f>
        <v/>
      </c>
      <c r="D136" s="35"/>
      <c r="E136" s="35"/>
      <c r="F136" s="36"/>
      <c r="G136" s="52" t="str">
        <f>IF(D103="なし","","N=1")</f>
        <v/>
      </c>
      <c r="H136" s="64"/>
      <c r="I136" s="53"/>
      <c r="J136" s="7" t="s">
        <v>26</v>
      </c>
      <c r="K136" s="130" t="str">
        <f>IF(D101="　","",MID(G136,3,2))</f>
        <v/>
      </c>
      <c r="L136" s="30" t="str">
        <f>IF(K136="","",D106*K136)</f>
        <v/>
      </c>
    </row>
    <row r="137" spans="2:12" ht="12" customHeight="1">
      <c r="B137" s="6" t="str">
        <f>IF(D105="なし","","フリーパッカー注入ホース")</f>
        <v/>
      </c>
      <c r="C137" s="34" t="str">
        <f>IF(OR(D101="　",B137=""),"","16/20")</f>
        <v/>
      </c>
      <c r="D137" s="35"/>
      <c r="E137" s="35"/>
      <c r="F137" s="36"/>
      <c r="G137" s="56" t="str">
        <f>IF(B137="","","L=自由長+余長")</f>
        <v/>
      </c>
      <c r="H137" s="63"/>
      <c r="I137" s="106"/>
      <c r="J137" s="7" t="s">
        <v>12</v>
      </c>
      <c r="K137" s="30" t="str">
        <f>IF(D101="　","",IF(B137="","",MROUND(D108+D110,0.1)))</f>
        <v/>
      </c>
      <c r="L137" s="30" t="str">
        <f>IF(K137="","",D106*K137)</f>
        <v/>
      </c>
    </row>
    <row r="138" spans="2:12" ht="12" customHeight="1">
      <c r="B138" s="9" t="str">
        <f>IF(D105="なし","","フリーパッカー")</f>
        <v/>
      </c>
      <c r="C138" s="52" t="str" cm="1">
        <f t="array" ref="C138">IF(OR(D101="　",B137=""),"",_xlfn.IFS(D116=90,"PA-170",D116=115,"PA-200",D116&lt;147,"PA-240",D116&gt;147,"PA-350"))</f>
        <v/>
      </c>
      <c r="D138" s="35"/>
      <c r="E138" s="35"/>
      <c r="F138" s="36"/>
      <c r="G138" s="57" t="str">
        <f>IF(B138="","","L=自由長+0.5m")</f>
        <v/>
      </c>
      <c r="H138" s="65"/>
      <c r="I138" s="107"/>
      <c r="J138" s="10" t="s">
        <v>12</v>
      </c>
      <c r="K138" s="30" t="str">
        <f>IF(D101="　","",IF(B138="","",MROUND(K102+0.5,0.1)))</f>
        <v/>
      </c>
      <c r="L138" s="30" t="str">
        <f>IF(K138="","",D106*K138)</f>
        <v/>
      </c>
    </row>
    <row r="139" spans="2:12" ht="12" customHeight="1">
      <c r="B139" s="11" t="str">
        <f>IF(D105="なし","","パッカー取付加工")</f>
        <v/>
      </c>
      <c r="C139" s="42"/>
      <c r="D139" s="37"/>
      <c r="E139" s="37"/>
      <c r="F139" s="38"/>
      <c r="G139" s="131" t="str">
        <f>IF(B139="","","N=1")</f>
        <v/>
      </c>
      <c r="H139" s="66"/>
      <c r="I139" s="54"/>
      <c r="J139" s="12" t="s">
        <v>27</v>
      </c>
      <c r="K139" s="133" t="str">
        <f>IF(D101="　","",MID(G139,3,2))</f>
        <v/>
      </c>
      <c r="L139" s="11" t="str">
        <f>IF(K139="","",D106*K139)</f>
        <v/>
      </c>
    </row>
    <row r="140" spans="2:12" ht="12" customHeight="1">
      <c r="B140" s="14" t="s">
        <v>30</v>
      </c>
      <c r="C140" s="43" t="s">
        <v>31</v>
      </c>
      <c r="D140" s="40"/>
      <c r="E140" s="40"/>
      <c r="F140" s="41"/>
      <c r="G140" s="59" t="s">
        <v>56</v>
      </c>
      <c r="H140" s="67"/>
      <c r="I140" s="108"/>
      <c r="J140" s="2" t="s">
        <v>55</v>
      </c>
      <c r="K140" s="31">
        <f>IFERROR(MROUND(0.25*PI()*(0.001*D116)^2*(D108+D109+D114+D113)*(1+2.2),0.01),"")</f>
        <v>0.33</v>
      </c>
      <c r="L140" s="31">
        <f>IFERROR(D106*K140,"")</f>
        <v>3.3000000000000003</v>
      </c>
    </row>
    <row r="143" spans="2:12" ht="12" customHeight="1">
      <c r="B143" s="251" t="s">
        <v>88</v>
      </c>
      <c r="C143" s="251"/>
      <c r="D143" s="251"/>
    </row>
    <row r="144" spans="2:12" ht="12" customHeight="1">
      <c r="B144" s="15" t="s">
        <v>111</v>
      </c>
      <c r="C144" s="15"/>
      <c r="D144" s="1"/>
      <c r="E144" s="1"/>
      <c r="F144" s="1"/>
      <c r="I144" s="119"/>
      <c r="K144" s="118"/>
    </row>
    <row r="145" spans="2:12" ht="12" customHeight="1">
      <c r="B145" s="111" t="s">
        <v>130</v>
      </c>
      <c r="C145" s="3"/>
      <c r="D145" s="1"/>
      <c r="E145" s="1"/>
      <c r="F145" s="1"/>
      <c r="G145" s="8"/>
      <c r="H145" s="8"/>
      <c r="I145" s="102"/>
      <c r="J145" s="28"/>
      <c r="K145" s="118"/>
    </row>
    <row r="146" spans="2:12" ht="12" customHeight="1">
      <c r="B146" s="15" t="s">
        <v>40</v>
      </c>
      <c r="C146" s="3"/>
      <c r="D146" s="1"/>
      <c r="E146" s="1"/>
      <c r="F146" s="1"/>
      <c r="G146" s="15" t="s">
        <v>54</v>
      </c>
      <c r="H146" s="15"/>
      <c r="I146" s="102"/>
      <c r="J146" s="28"/>
    </row>
    <row r="147" spans="2:12" ht="12" customHeight="1">
      <c r="B147" s="2" t="s">
        <v>53</v>
      </c>
      <c r="C147" s="2" t="s">
        <v>21</v>
      </c>
      <c r="D147" s="2" t="s">
        <v>22</v>
      </c>
      <c r="E147" s="2" t="s">
        <v>84</v>
      </c>
      <c r="F147" s="17"/>
      <c r="G147" s="2" t="s">
        <v>41</v>
      </c>
      <c r="H147" s="97" t="s">
        <v>59</v>
      </c>
      <c r="I147" s="49" t="s">
        <v>44</v>
      </c>
      <c r="J147" s="2" t="s">
        <v>21</v>
      </c>
      <c r="K147" s="49" t="s">
        <v>29</v>
      </c>
      <c r="L147" s="2" t="s">
        <v>28</v>
      </c>
    </row>
    <row r="148" spans="2:12" ht="12" customHeight="1">
      <c r="B148" s="51" t="s">
        <v>37</v>
      </c>
      <c r="C148" s="50" t="s">
        <v>38</v>
      </c>
      <c r="D148" s="70" t="s">
        <v>85</v>
      </c>
      <c r="E148" s="137" t="s">
        <v>71</v>
      </c>
      <c r="F148" s="17"/>
      <c r="G148" s="86" t="str">
        <f>IF(D161=0,"",G149)</f>
        <v/>
      </c>
      <c r="H148" s="87" t="str">
        <f>IF(D161=0,"",H150&amp;" (背面管部）")</f>
        <v/>
      </c>
      <c r="I148" s="88" t="str">
        <f>IF(D161=0,"",D162)</f>
        <v/>
      </c>
      <c r="J148" s="89" t="str">
        <f>IF(D161=0,"","m")</f>
        <v/>
      </c>
      <c r="K148" s="90" t="str">
        <f>IF(D161=0,"",D161)</f>
        <v/>
      </c>
      <c r="L148" s="29" t="str">
        <f>IF(D161=0,"",D153*K148)</f>
        <v/>
      </c>
    </row>
    <row r="149" spans="2:12" ht="12" customHeight="1">
      <c r="B149" s="52" t="s">
        <v>39</v>
      </c>
      <c r="C149" s="91" t="s">
        <v>38</v>
      </c>
      <c r="D149" s="71" t="s">
        <v>60</v>
      </c>
      <c r="E149" s="138"/>
      <c r="F149" s="17"/>
      <c r="G149" s="68" t="s">
        <v>43</v>
      </c>
      <c r="H149" s="68" t="s">
        <v>104</v>
      </c>
      <c r="I149" s="88" t="str" cm="1">
        <f t="array" ref="I149">_xlfn.IFS(AND(G149&lt;&gt;"非削孔",G149&lt;&gt;"無設定"),D163,G149="非削孔",IF(MID(B150,1,3)="土留め","非削孔","箱抜き"),G149="無設定","無設定")</f>
        <v>箱抜き</v>
      </c>
      <c r="J149" s="23" t="str">
        <f>IF(G149="無設定","","m")</f>
        <v>m</v>
      </c>
      <c r="K149" s="69">
        <v>0.6</v>
      </c>
      <c r="L149" s="30">
        <f>D153*K149</f>
        <v>6</v>
      </c>
    </row>
    <row r="150" spans="2:12" ht="12" customHeight="1">
      <c r="B150" s="115" t="s">
        <v>86</v>
      </c>
      <c r="C150" s="91" t="s">
        <v>38</v>
      </c>
      <c r="D150" s="83" t="s">
        <v>51</v>
      </c>
      <c r="E150" s="139" t="str">
        <f>IF(OR(MID(B150,1,3)&lt;&gt;"土留め",D150="なし"),"","腹起し")</f>
        <v/>
      </c>
      <c r="F150" s="140"/>
      <c r="G150" s="68" t="s">
        <v>92</v>
      </c>
      <c r="H150" s="68" t="s">
        <v>105</v>
      </c>
      <c r="I150" s="88" cm="1">
        <f t="array" ref="I150">_xlfn.IFS(AND(G150&lt;&gt;"非削孔",G150&lt;&gt;"無設定"),D163,G150="非削孔","箱抜き",G150="無設定","無設定")</f>
        <v>135</v>
      </c>
      <c r="J150" s="23" t="str">
        <f t="shared" ref="J150:J158" si="4">IF(G150="無設定","","m")</f>
        <v>m</v>
      </c>
      <c r="K150" s="69">
        <v>4.5270000000000001</v>
      </c>
      <c r="L150" s="30">
        <f>D153*K150</f>
        <v>45.27</v>
      </c>
    </row>
    <row r="151" spans="2:12" ht="12" customHeight="1">
      <c r="B151" s="114" t="str">
        <f>IF(OR(MID(B150,1,3)&lt;&gt;"土留め",D150="なし"),"",B150&amp;"の種類")</f>
        <v/>
      </c>
      <c r="C151" s="91" t="s">
        <v>38</v>
      </c>
      <c r="D151" s="113" t="s">
        <v>71</v>
      </c>
      <c r="E151" s="122" t="s">
        <v>71</v>
      </c>
      <c r="F151" s="141"/>
      <c r="G151" s="68" t="s">
        <v>87</v>
      </c>
      <c r="H151" s="68" t="s">
        <v>133</v>
      </c>
      <c r="I151" s="88" cm="1">
        <f t="array" ref="I151">_xlfn.IFS(AND(G151&lt;&gt;"非削孔",G151&lt;&gt;"無設定"),D163,G151="非削孔","箱抜き",G151="無設定","無設定")</f>
        <v>135</v>
      </c>
      <c r="J151" s="23" t="str">
        <f t="shared" si="4"/>
        <v>m</v>
      </c>
      <c r="K151" s="69">
        <v>2.1379999999999999</v>
      </c>
      <c r="L151" s="30">
        <f>D153*K151</f>
        <v>21.38</v>
      </c>
    </row>
    <row r="152" spans="2:12" ht="12" customHeight="1">
      <c r="B152" s="147" t="s">
        <v>50</v>
      </c>
      <c r="C152" s="91" t="s">
        <v>38</v>
      </c>
      <c r="D152" s="83" t="s">
        <v>51</v>
      </c>
      <c r="E152" s="102"/>
      <c r="F152" s="21"/>
      <c r="G152" s="68" t="s">
        <v>49</v>
      </c>
      <c r="H152" s="68" t="s">
        <v>107</v>
      </c>
      <c r="I152" s="88" cm="1">
        <f t="array" ref="I152">_xlfn.IFS(AND(G152&lt;&gt;"非削孔",G152&lt;&gt;"無設定"),D163,G152="非削孔","箱抜き",G152="無設定","無設定")</f>
        <v>135</v>
      </c>
      <c r="J152" s="23" t="str">
        <f t="shared" si="4"/>
        <v>m</v>
      </c>
      <c r="K152" s="69">
        <v>6.7350000000000003</v>
      </c>
      <c r="L152" s="30">
        <f>D153*K152</f>
        <v>67.350000000000009</v>
      </c>
    </row>
    <row r="153" spans="2:12" ht="12" customHeight="1">
      <c r="B153" s="157" t="s">
        <v>25</v>
      </c>
      <c r="C153" s="158" t="s">
        <v>24</v>
      </c>
      <c r="D153" s="162">
        <v>10</v>
      </c>
      <c r="E153" s="19"/>
      <c r="F153" s="21"/>
      <c r="G153" s="68" t="s">
        <v>48</v>
      </c>
      <c r="H153" s="68"/>
      <c r="I153" s="88" t="str" cm="1">
        <f t="array" ref="I153">_xlfn.IFS(AND(G153&lt;&gt;"非削孔",G153&lt;&gt;"無設定"),D163,G153="非削孔","箱抜き",G153="無設定","無設定")</f>
        <v>無設定</v>
      </c>
      <c r="J153" s="23" t="str">
        <f t="shared" si="4"/>
        <v/>
      </c>
      <c r="K153" s="69">
        <v>0</v>
      </c>
      <c r="L153" s="30">
        <f>D153*K153</f>
        <v>0</v>
      </c>
    </row>
    <row r="154" spans="2:12" ht="12" customHeight="1">
      <c r="B154" s="160" t="str" cm="1">
        <f t="array" ref="B154">"頭部自由長("&amp;_xlfn.IFS(AND(MID(B150,1,3)="土留め",D150="あり"),"腹起し+台座",AND(MID(B150,1,3)="土留め",D150="なし"),"台座なし",AND(MID(B150,1,3)="構造物",D150="あり"),"壁面台座",AND(MID(B150,1,3)="構造物",D150="なし"),"台座なし",AND(MID(B150,1,3)="のり面",D150="あり"),"角度台座＋受圧体",AND(MID(B150,1,3)="のり面",D150="なし"),"受圧体")&amp;")　"&amp;"Lfh"</f>
        <v>頭部自由長(受圧体)　Lfh</v>
      </c>
      <c r="C154" s="155" t="s">
        <v>23</v>
      </c>
      <c r="D154" s="161">
        <v>0.5</v>
      </c>
      <c r="E154" s="21"/>
      <c r="F154" s="21"/>
      <c r="G154" s="68" t="s">
        <v>48</v>
      </c>
      <c r="H154" s="68"/>
      <c r="I154" s="88" t="str" cm="1">
        <f t="array" ref="I154">_xlfn.IFS(AND(G154&lt;&gt;"非削孔",G154&lt;&gt;"無設定"),D163,G154="非削孔","箱抜き",G154="無設定","無設定")</f>
        <v>無設定</v>
      </c>
      <c r="J154" s="23" t="str">
        <f t="shared" si="4"/>
        <v/>
      </c>
      <c r="K154" s="69">
        <v>0</v>
      </c>
      <c r="L154" s="30">
        <f>D153*K154</f>
        <v>0</v>
      </c>
    </row>
    <row r="155" spans="2:12" ht="12" customHeight="1">
      <c r="B155" s="22" t="s">
        <v>108</v>
      </c>
      <c r="C155" s="23" t="s">
        <v>23</v>
      </c>
      <c r="D155" s="47">
        <v>7.5</v>
      </c>
      <c r="E155" s="21"/>
      <c r="F155" s="21"/>
      <c r="G155" s="68" t="s">
        <v>48</v>
      </c>
      <c r="H155" s="68"/>
      <c r="I155" s="88" t="str" cm="1">
        <f t="array" ref="I155">_xlfn.IFS(AND(G155&lt;&gt;"非削孔",G155&lt;&gt;"無設定"),#REF!,G155="非削孔","箱抜き",G155="無設定","無設定")</f>
        <v>無設定</v>
      </c>
      <c r="J155" s="23" t="str">
        <f t="shared" si="4"/>
        <v/>
      </c>
      <c r="K155" s="69">
        <v>0</v>
      </c>
      <c r="L155" s="30">
        <f>D153*K155</f>
        <v>0</v>
      </c>
    </row>
    <row r="156" spans="2:12" ht="12" customHeight="1">
      <c r="B156" s="157" t="s">
        <v>36</v>
      </c>
      <c r="C156" s="158" t="s">
        <v>23</v>
      </c>
      <c r="D156" s="159">
        <v>6</v>
      </c>
      <c r="E156" s="21"/>
      <c r="F156" s="21"/>
      <c r="G156" s="68" t="s">
        <v>48</v>
      </c>
      <c r="H156" s="68"/>
      <c r="I156" s="88" t="str" cm="1">
        <f t="array" ref="I156">_xlfn.IFS(AND(G156&lt;&gt;"非削孔",G156&lt;&gt;"無設定"),D163,G156="非削孔","箱抜き",G156="無設定","無設定")</f>
        <v>無設定</v>
      </c>
      <c r="J156" s="23" t="str">
        <f t="shared" si="4"/>
        <v/>
      </c>
      <c r="K156" s="69">
        <v>0</v>
      </c>
      <c r="L156" s="30">
        <f>D153*K156</f>
        <v>0</v>
      </c>
    </row>
    <row r="157" spans="2:12" ht="12" customHeight="1">
      <c r="B157" s="154" t="s">
        <v>69</v>
      </c>
      <c r="C157" s="155" t="s">
        <v>23</v>
      </c>
      <c r="D157" s="156" cm="1">
        <f t="array" ref="D157">IF(D148="　","──",_xlfn.IFS(AND(MID(D148,4,1)="5",1*MID(D148,6,2)&lt;8),1,AND(MID(D148,4,1)="5",1*MID(D148,6,2)&gt;7),1.5,AND(MID(D148,4,1)="6",1*MID(D148,6,2)&lt;6),1,AND(MID(D148,4,1)="6",1*MID(D148,6,2)&gt;5),1.5))</f>
        <v>1</v>
      </c>
      <c r="E157" s="21"/>
      <c r="G157" s="68" t="s">
        <v>48</v>
      </c>
      <c r="H157" s="68"/>
      <c r="I157" s="88" t="str" cm="1">
        <f t="array" ref="I157">_xlfn.IFS(AND(G157&lt;&gt;"非削孔",G157&lt;&gt;"無設定"),D163,G157="非削孔","箱抜き",G157="無設定","無設定")</f>
        <v>無設定</v>
      </c>
      <c r="J157" s="23" t="str">
        <f t="shared" si="4"/>
        <v/>
      </c>
      <c r="K157" s="69">
        <v>0</v>
      </c>
      <c r="L157" s="30">
        <f>D153*K157</f>
        <v>0</v>
      </c>
    </row>
    <row r="158" spans="2:12" ht="12" customHeight="1">
      <c r="B158" s="22" t="s">
        <v>125</v>
      </c>
      <c r="C158" s="23" t="s">
        <v>35</v>
      </c>
      <c r="D158" s="84">
        <f>IF(D148="　","──",0.2)</f>
        <v>0.2</v>
      </c>
      <c r="E158" s="120"/>
      <c r="F158" s="19"/>
      <c r="G158" s="99" t="str" cm="1">
        <f t="array" ref="G158">INDEX(G149:I157,MATCH("無設定",G149:G157,0)-1,MATCH(G147,G147:I147,0))</f>
        <v>軟　岩</v>
      </c>
      <c r="H158" s="100" t="str" cm="1">
        <f t="array" ref="H158">INDEX(G149:I157,MATCH("無設定",G149:G157,0)-1,MATCH(H147,G147:I147,0))&amp;"　(先端長 L2d)"</f>
        <v>風化岩　(先端長 L2d)</v>
      </c>
      <c r="I158" s="88" cm="1">
        <f t="array" ref="I158">INDEX(G149:I157,MATCH("無設定",G149:G157,0)-1,MATCH(I147,G147:I147,0))</f>
        <v>135</v>
      </c>
      <c r="J158" s="23" t="str">
        <f t="shared" si="4"/>
        <v>m</v>
      </c>
      <c r="K158" s="98">
        <f>D160</f>
        <v>0.25</v>
      </c>
      <c r="L158" s="78">
        <f>IFERROR(D153*K158,"")</f>
        <v>2.5</v>
      </c>
    </row>
    <row r="159" spans="2:12" ht="12" customHeight="1">
      <c r="B159" s="6" t="s">
        <v>126</v>
      </c>
      <c r="C159" s="23" t="s">
        <v>23</v>
      </c>
      <c r="D159" s="60">
        <f>IF(D148="　","──",SUM(D155:D157))</f>
        <v>14.5</v>
      </c>
      <c r="E159" s="121"/>
      <c r="F159" s="19"/>
      <c r="G159" s="72"/>
      <c r="H159" s="75" t="s">
        <v>124</v>
      </c>
      <c r="I159" s="103"/>
      <c r="J159" s="18" t="s">
        <v>23</v>
      </c>
      <c r="K159" s="74">
        <f>SUMIFS(K148:K158,G148:G158,"&lt;&gt;非削孔",G148:G158,"&lt;&gt;無設定")</f>
        <v>13.65</v>
      </c>
      <c r="L159" s="95">
        <f>SUMIFS(L148:L158,G148:G158,"&lt;&gt;非削孔",G148:G158,"&lt;&gt;無設定")</f>
        <v>136.5</v>
      </c>
    </row>
    <row r="160" spans="2:12" ht="12" customHeight="1">
      <c r="B160" s="25" t="s">
        <v>127</v>
      </c>
      <c r="C160" s="26" t="s">
        <v>23</v>
      </c>
      <c r="D160" s="27">
        <f>IF(D148="　","──",$N$1)</f>
        <v>0.25</v>
      </c>
      <c r="E160" s="121"/>
      <c r="F160" s="19"/>
      <c r="G160" s="73"/>
      <c r="H160" s="76" t="s">
        <v>47</v>
      </c>
      <c r="I160" s="104"/>
      <c r="J160" s="79" t="s">
        <v>46</v>
      </c>
      <c r="K160" s="77" t="str">
        <f>IF(D148="　","",IF(SUM(D154:D156,D161,D160)=K159+SUMIFS(K148:K158,G148:G158,"=非削孔"),"OK","NG"))</f>
        <v>OK</v>
      </c>
      <c r="L160" s="145" t="str">
        <f>IF(K160&lt;&gt;"NG","──",K159+SUMIFS(K148:K158,G148:G158,"=非削孔")-SUM(D154:D156,D161,D160))</f>
        <v>──</v>
      </c>
    </row>
    <row r="161" spans="2:12" ht="12" customHeight="1">
      <c r="B161" s="22" t="s">
        <v>73</v>
      </c>
      <c r="C161" s="23" t="s">
        <v>35</v>
      </c>
      <c r="D161" s="85">
        <v>0</v>
      </c>
      <c r="E161" s="123"/>
      <c r="F161" s="19"/>
      <c r="G161" s="94" t="s">
        <v>58</v>
      </c>
      <c r="H161" s="252" t="s">
        <v>110</v>
      </c>
      <c r="I161" s="253"/>
      <c r="J161" s="253"/>
      <c r="K161" s="253"/>
      <c r="L161" s="254"/>
    </row>
    <row r="162" spans="2:12" ht="12" customHeight="1">
      <c r="B162" s="22" t="str">
        <f>IF(D148="　","",IF(D161=0,"","頭部背面管削孔径　Dh"))</f>
        <v/>
      </c>
      <c r="C162" s="23" t="str">
        <f>IF(D148="　","",IF(D161=0,"","mm"))</f>
        <v/>
      </c>
      <c r="D162" s="93" t="str" cm="1">
        <f t="array" ref="D162">IF(D148="　","",IF(D161=0,"",IF(MID(D148,4,1)="5",_xlfn.IFS(VALUE(MID(D148,6,2))&lt;7,115,VALUE(MID(D148,6,2))&gt;6,135),"未設定")))</f>
        <v/>
      </c>
      <c r="E162" s="121"/>
      <c r="F162" s="1"/>
      <c r="G162" s="8"/>
      <c r="H162" s="8"/>
      <c r="I162" s="102"/>
    </row>
    <row r="163" spans="2:12" ht="12" customHeight="1">
      <c r="B163" s="95" t="s">
        <v>123</v>
      </c>
      <c r="C163" s="18" t="s">
        <v>32</v>
      </c>
      <c r="D163" s="153">
        <v>135</v>
      </c>
      <c r="E163" s="151"/>
      <c r="F163" s="1"/>
      <c r="G163" s="8"/>
      <c r="H163" s="8"/>
      <c r="I163" s="102"/>
    </row>
    <row r="164" spans="2:12" ht="12" customHeight="1">
      <c r="B164" s="25" t="s">
        <v>122</v>
      </c>
      <c r="C164" s="26" t="s">
        <v>32</v>
      </c>
      <c r="D164" s="152" cm="1">
        <f t="array" ref="D164">IF(D148="　","──",IF(D152="なし",IF(MID(D148,4,1)="5",_xlfn.IFS(VALUE(MID(D148,6,2))&lt;6,90,VALUE(MID(D148,6,2))&lt;9,115,VALUE(MID(D148,6,2))&gt;8,135),_xlfn.IFS(VALUE(MID(D148,6,2))&lt;4,90,VALUE(MID(D148,6,2))&lt;10,135,VALUE(MID(D148,6,2))&gt;9,146)),IF(MID(D148,4,1)="5",_xlfn.IFS(VALUE(MID(D148,6,2))&lt;3,90,VALUE(MID(D148,6,2))&lt;7,115,VALUE(MID(D148,6,2))&lt;10,135,VALUE(MID(D148,6,2))&gt;9,146),_xlfn.IFS(VALUE(MID(D148,6,2))&lt;3,90,VALUE(MID(D148,6,2))&lt;4,115,VALUE(MID(D148,6,2))&lt;6,135,VALUE(MID(D148,6,2))&lt;10,146,VALUE(MID(D148,6,2))&gt;9,165))))</f>
        <v>90</v>
      </c>
      <c r="E164" s="117"/>
      <c r="F164" s="1"/>
      <c r="G164" s="8"/>
      <c r="H164" s="8"/>
      <c r="I164" s="102"/>
    </row>
    <row r="165" spans="2:12" ht="12" customHeight="1">
      <c r="E165" s="117"/>
      <c r="F165" s="1"/>
      <c r="G165" s="8"/>
      <c r="H165" s="8"/>
      <c r="I165" s="102"/>
    </row>
    <row r="166" spans="2:12" ht="12" customHeight="1">
      <c r="B166" s="15" t="str">
        <f>"■"&amp;MID(B143,2,13)</f>
        <v>■長期：EHDアンカー数量表</v>
      </c>
      <c r="C166" s="3"/>
      <c r="D166" s="1"/>
      <c r="E166" s="1"/>
      <c r="F166" s="1"/>
      <c r="G166" s="8"/>
      <c r="H166" s="8"/>
      <c r="I166" s="102"/>
    </row>
    <row r="167" spans="2:12" ht="12" customHeight="1">
      <c r="B167" s="2" t="s">
        <v>17</v>
      </c>
      <c r="C167" s="43"/>
      <c r="D167" s="134"/>
      <c r="E167" s="61" t="s">
        <v>78</v>
      </c>
      <c r="F167" s="135"/>
      <c r="G167" s="16"/>
      <c r="H167" s="61" t="s">
        <v>42</v>
      </c>
      <c r="I167" s="97"/>
      <c r="J167" s="2" t="s">
        <v>21</v>
      </c>
      <c r="K167" s="49" t="s">
        <v>29</v>
      </c>
      <c r="L167" s="2" t="s">
        <v>28</v>
      </c>
    </row>
    <row r="168" spans="2:12" ht="12" customHeight="1">
      <c r="B168" s="4" t="s">
        <v>19</v>
      </c>
      <c r="C168" s="39" t="str">
        <f>IF(D148="　","",D148&amp;" ("&amp;MID(D148,6,2)&amp;IF(MID(D148,4,1)="5","φ12.7","φ15.2")&amp;")")</f>
        <v>EHD5-4 (4φ12.7)</v>
      </c>
      <c r="D168" s="32"/>
      <c r="E168" s="32"/>
      <c r="F168" s="33"/>
      <c r="G168" s="55" t="str">
        <f>"W=(テンドン長+先端長0.2m)×鋼線本数×"&amp;IF(MID(D148,4,1)="5","0.774","1.101")&amp;"kg/m"</f>
        <v>W=(テンドン長+先端長0.2m)×鋼線本数×0.774kg/m</v>
      </c>
      <c r="H168" s="62"/>
      <c r="I168" s="105"/>
      <c r="J168" s="5" t="s">
        <v>11</v>
      </c>
      <c r="K168" s="29">
        <f>IF(D148="　","",MROUND((D159+D158)*MID(D148,6,2)*IF(MID(D148,4,1)="5","0.774","1.101"),0.01))</f>
        <v>45.51</v>
      </c>
      <c r="L168" s="29">
        <f>IFERROR(D153*K168,"")</f>
        <v>455.09999999999997</v>
      </c>
    </row>
    <row r="169" spans="2:12" ht="12" customHeight="1">
      <c r="B169" s="6" t="s">
        <v>20</v>
      </c>
      <c r="C169" s="34"/>
      <c r="D169" s="35"/>
      <c r="E169" s="35"/>
      <c r="F169" s="36"/>
      <c r="G169" s="56" t="s">
        <v>33</v>
      </c>
      <c r="H169" s="63"/>
      <c r="I169" s="106"/>
      <c r="J169" s="7" t="s">
        <v>12</v>
      </c>
      <c r="K169" s="30">
        <f>IF(D148="　","",MROUND(D159,0.1))</f>
        <v>14.5</v>
      </c>
      <c r="L169" s="30">
        <f>IFERROR(D153*K169,"")</f>
        <v>145</v>
      </c>
    </row>
    <row r="170" spans="2:12" ht="12" customHeight="1">
      <c r="B170" s="6" t="s">
        <v>0</v>
      </c>
      <c r="C170" s="34" t="str">
        <f>IF(D148="　","","16/20")</f>
        <v>16/20</v>
      </c>
      <c r="D170" s="35"/>
      <c r="E170" s="35"/>
      <c r="F170" s="36"/>
      <c r="G170" s="56" t="s">
        <v>33</v>
      </c>
      <c r="H170" s="63"/>
      <c r="I170" s="106"/>
      <c r="J170" s="7" t="s">
        <v>12</v>
      </c>
      <c r="K170" s="30">
        <f>IF(D148="　","",MROUND(D159,0.1))</f>
        <v>14.5</v>
      </c>
      <c r="L170" s="30">
        <f>IFERROR(D153*K170,"")</f>
        <v>145</v>
      </c>
    </row>
    <row r="171" spans="2:12" ht="12" customHeight="1">
      <c r="B171" s="6" t="s">
        <v>1</v>
      </c>
      <c r="C171" s="34" t="str" cm="1">
        <f t="array" ref="C171">IF(D148="　","",IF(MID(D148,4,1)="5",_xlfn.IFS(VALUE(MID(D148,6,2))&lt;5,"5-4",VALUE(MID(D148,6,2))&lt;8,"5-7",VALUE(MID(D148,6,2))&lt;10,"5-9",VALUE(MID(D148,6,2))&gt;9,"5-12"),_xlfn.IFS(VALUE(MID(D148,6,2))&lt;8,"6-7",VALUE(MID(D148,6,2))&lt;13,"6-12",VALUE(MID(D148,6,2))&gt;12,"6-19"))&amp;"用、ポリプロピレン")</f>
        <v>5-4用、ポリプロピレン</v>
      </c>
      <c r="D171" s="35"/>
      <c r="E171" s="35"/>
      <c r="F171" s="36"/>
      <c r="G171" s="52" t="str">
        <f>"N=1"</f>
        <v>N=1</v>
      </c>
      <c r="H171" s="64"/>
      <c r="I171" s="53"/>
      <c r="J171" s="7" t="s">
        <v>13</v>
      </c>
      <c r="K171" s="130" t="str">
        <f>IF(D148="　","",MID(G171,3,2))</f>
        <v>1</v>
      </c>
      <c r="L171" s="30">
        <f>IFERROR(D153*K171,"")</f>
        <v>10</v>
      </c>
    </row>
    <row r="172" spans="2:12" ht="12" customHeight="1">
      <c r="B172" s="6" t="s">
        <v>2</v>
      </c>
      <c r="C172" s="34" t="str" cm="1">
        <f t="array" ref="C172">IF(D148="　","",IF(MID(D148,4,1)="5",_xlfn.IFS(VALUE(MID(D148,6,2))&lt;6,"5-5",VALUE(MID(D148,6,2))&lt;9,"5-8",VALUE(MID(D148,6,2))&gt;8,"5-12"),_xlfn.IFS(VALUE(MID(D148,6,2))&lt;13,"6-12",VALUE(MID(D148,6,2))&lt;17,"6-16",VALUE(MID(D148,6,2))&gt;16,"6-20"))&amp;"用、ポリプロピレン")</f>
        <v>5-5用、ポリプロピレン</v>
      </c>
      <c r="D172" s="35"/>
      <c r="E172" s="35"/>
      <c r="F172" s="36"/>
      <c r="G172" s="127" t="s">
        <v>120</v>
      </c>
      <c r="H172" s="63"/>
      <c r="I172" s="106"/>
      <c r="J172" s="7" t="s">
        <v>13</v>
      </c>
      <c r="K172" s="6">
        <f>IF(D148="　","",MROUND((D156-0.5)/1,1))</f>
        <v>6</v>
      </c>
      <c r="L172" s="30">
        <f>IFERROR(D153*K172,"")</f>
        <v>60</v>
      </c>
    </row>
    <row r="173" spans="2:12" ht="12" customHeight="1">
      <c r="B173" s="6" t="s">
        <v>3</v>
      </c>
      <c r="C173" s="34" t="str">
        <f>IF(D148="　","","AB350")</f>
        <v>AB350</v>
      </c>
      <c r="D173" s="35"/>
      <c r="E173" s="35"/>
      <c r="F173" s="36"/>
      <c r="G173" s="127" t="s">
        <v>34</v>
      </c>
      <c r="H173" s="63"/>
      <c r="I173" s="106"/>
      <c r="J173" s="7" t="s">
        <v>14</v>
      </c>
      <c r="K173" s="6">
        <f>IF(D148="　","",2*K172)</f>
        <v>12</v>
      </c>
      <c r="L173" s="30">
        <f>IFERROR(D153*K173,"")</f>
        <v>120</v>
      </c>
    </row>
    <row r="174" spans="2:12" ht="12" customHeight="1">
      <c r="B174" s="6" t="s">
        <v>4</v>
      </c>
      <c r="C174" s="34"/>
      <c r="D174" s="35"/>
      <c r="E174" s="35"/>
      <c r="F174" s="36"/>
      <c r="G174" s="127" t="str">
        <f>IF(D148="　","","L=((自由長+緊張余長)÷@1.0m)×ﾃﾝﾄﾞﾝ係数"&amp;IF(MID(D148,4,1)="5",_xlfn.IFS(VALUE(MID(D148,6,2))=1,"0.6",VALUE(MID(D148,6,2))&lt;5,"1.0",VALUE(MID(D148,6,2))&lt;8,"1.1",VALUE(MID(D148,6,2))&gt;7,"1.2"),_xlfn.IFS(VALUE(MID(D148,6,2))=1,"0.7",VALUE(MID(D148,6,2))&lt;5,"1.1",VALUE(MID(D148,6,2))&lt;8,"1.2",VALUE(MID(D148,6,2))&gt;7,"1.3")))</f>
        <v>L=((自由長+緊張余長)÷@1.0m)×ﾃﾝﾄﾞﾝ係数1.0</v>
      </c>
      <c r="H174" s="63"/>
      <c r="I174" s="106"/>
      <c r="J174" s="7" t="s">
        <v>12</v>
      </c>
      <c r="K174" s="136">
        <f>IF(D148="　","",MROUND((SUM(D155,D154:D157))/1*RIGHT(G174, 3),0.1))</f>
        <v>22.5</v>
      </c>
      <c r="L174" s="30">
        <f>IFERROR(D153*K174,"")</f>
        <v>225</v>
      </c>
    </row>
    <row r="175" spans="2:12" ht="12" customHeight="1">
      <c r="B175" s="6" t="str">
        <f>"ヘッドキャップ"&amp;IF(LEFT(E148,2)="窓付"," (目視型)","")</f>
        <v>ヘッドキャップ</v>
      </c>
      <c r="C175" s="34" t="str" cm="1">
        <f t="array" ref="C175">IF(D148="　","",IF(MID(D148,4,1)="5",_xlfn.IFS(VALUE(MID(D148,6,2))&lt;5,"5-4",VALUE(MID(D148,6,2))&lt;8,"5-7",VALUE(MID(D148,6,2))&gt;7,"5-12"),"未設定")&amp;"用RN型、AC4C相当"&amp;IF(D149="防食Ⅱ","","、防食：タケコート処理"))</f>
        <v>5-4用RN型、AC4C相当</v>
      </c>
      <c r="D175" s="44"/>
      <c r="E175" s="44"/>
      <c r="F175" s="45"/>
      <c r="G175" s="52" t="str">
        <f>"N=1"</f>
        <v>N=1</v>
      </c>
      <c r="H175" s="64"/>
      <c r="I175" s="53"/>
      <c r="J175" s="7" t="s">
        <v>13</v>
      </c>
      <c r="K175" s="130" t="str">
        <f>IF(D148="　","",MID(G175,3,2))</f>
        <v>1</v>
      </c>
      <c r="L175" s="30">
        <f>IFERROR(D153*K175,"")</f>
        <v>10</v>
      </c>
    </row>
    <row r="176" spans="2:12" ht="12" customHeight="1">
      <c r="B176" s="6" t="s">
        <v>5</v>
      </c>
      <c r="C176" s="34" t="str" cm="1">
        <f t="array" ref="C176">IF(D148="　","",IF(MID(D148,4,1)="5",_xlfn.IFS(VALUE(MID(D148,6,2))&lt;3,"5-2",VALUE(MID(D148,6,2))&lt;4,"5-3",VALUE(MID(D148,6,2))&lt;5,"5-4",VALUE(MID(D148,6,2))&lt;8,"5-7",VALUE(MID(D148,6,2))&lt;10,"5-9",VALUE(MID(D148,6,2))&gt;9,"5-12"),_xlfn.IFS(VALUE(MID(D148,6,2))&lt;8,"6-7",VALUE(MID(D148,6,2))&gt;7,"6-12"))&amp;"用、S45C相当")</f>
        <v>5-4用、S45C相当</v>
      </c>
      <c r="D176" s="35"/>
      <c r="E176" s="35"/>
      <c r="F176" s="36"/>
      <c r="G176" s="52" t="str">
        <f>"N=1"</f>
        <v>N=1</v>
      </c>
      <c r="H176" s="64"/>
      <c r="I176" s="53"/>
      <c r="J176" s="7" t="s">
        <v>13</v>
      </c>
      <c r="K176" s="130" t="str">
        <f>IF(D148="　","",MID(G176,3,2))</f>
        <v>1</v>
      </c>
      <c r="L176" s="30">
        <f>IFERROR(D153*K176,"")</f>
        <v>10</v>
      </c>
    </row>
    <row r="177" spans="2:12" ht="12" customHeight="1">
      <c r="B177" s="6" t="s">
        <v>6</v>
      </c>
      <c r="C177" s="34" t="str" cm="1">
        <f t="array" ref="C177">IF(D148="　","",IF(MID(D148,4,1)="5",_xlfn.IFS(VALUE(MID(D148,6,2))&lt;3,"5-2",VALUE(MID(D148,6,2))&lt;4,"5-3",VALUE(MID(D148,6,2))&lt;5,"5-4",VALUE(MID(D148,6,2))&lt;8,"5-7",VALUE(MID(D148,6,2))&lt;10,"5-9",VALUE(MID(D148,6,2))&gt;9,"5-12"),_xlfn.IFS(VALUE(MID(D148,6,2))&lt;8,"6-7",VALUE(MID(D148,6,2))&gt;7,"6-12"))&amp;"用、S45C相当")</f>
        <v>5-4用、S45C相当</v>
      </c>
      <c r="D177" s="35"/>
      <c r="E177" s="35"/>
      <c r="F177" s="36"/>
      <c r="G177" s="52" t="str">
        <f>"N=1"</f>
        <v>N=1</v>
      </c>
      <c r="H177" s="64"/>
      <c r="I177" s="53"/>
      <c r="J177" s="7" t="s">
        <v>13</v>
      </c>
      <c r="K177" s="130" t="str">
        <f>IF(D148="　","",MID(G177,3,2))</f>
        <v>1</v>
      </c>
      <c r="L177" s="30">
        <f>IFERROR(D153*K177,"")</f>
        <v>10</v>
      </c>
    </row>
    <row r="178" spans="2:12" ht="12" customHeight="1">
      <c r="B178" s="6" t="s">
        <v>7</v>
      </c>
      <c r="C178" s="34" t="str">
        <f>IF(D148="　","",D148&amp;"用、SCM415相当")</f>
        <v>EHD5-4用、SCM415相当</v>
      </c>
      <c r="D178" s="35"/>
      <c r="E178" s="35"/>
      <c r="F178" s="36"/>
      <c r="G178" s="52" t="str">
        <f>IF(D148="　","","N="&amp;VALUE(MID(D148,6,2)))</f>
        <v>N=4</v>
      </c>
      <c r="H178" s="64"/>
      <c r="I178" s="53"/>
      <c r="J178" s="7" t="s">
        <v>15</v>
      </c>
      <c r="K178" s="130" t="str">
        <f>IF(D148="　","",MID(G178,3,2))</f>
        <v>4</v>
      </c>
      <c r="L178" s="30">
        <f>IFERROR(D153*K178,"")</f>
        <v>40</v>
      </c>
    </row>
    <row r="179" spans="2:12" ht="12" customHeight="1">
      <c r="B179" s="6" t="s">
        <v>18</v>
      </c>
      <c r="C179" s="96" t="str" cm="1">
        <f t="array" ref="C179">IF(D148="　","",IF(MID(D148,4,1)="5",_xlfn.IFS(VALUE(MID(D148,6,2))&lt;3,"5-2",VALUE(MID(D148,6,2))&lt;4,"5-3",VALUE(MID(D148,6,2))&lt;5,"5-4",VALUE(MID(D148,6,2))&lt;8,"5-7",VALUE(MID(D148,6,2))&lt;10,"5-9",VALUE(MID(D148,6,2))&gt;9,"5-12"),_xlfn.IFS(VALUE(MID(D148,6,2))&lt;4,"6-3",VALUE(MID(D148,6,2))&lt;8,"6-7",VALUE(MID(D148,6,2))&gt;7,"6-12"))&amp;"用、SS400・STKM13A相当、防食："&amp;IF(D149="防食Ⅱ","亜鉛めっき処理","ｱﾙﾐﾅｲｽﾞ処理"))</f>
        <v>5-4用、SS400・STKM13A相当、防食：亜鉛めっき処理</v>
      </c>
      <c r="D179" s="35"/>
      <c r="E179" s="35"/>
      <c r="F179" s="36"/>
      <c r="G179" s="52" t="str">
        <f>"N=1"</f>
        <v>N=1</v>
      </c>
      <c r="H179" s="64"/>
      <c r="I179" s="53"/>
      <c r="J179" s="7" t="s">
        <v>16</v>
      </c>
      <c r="K179" s="130" t="str">
        <f>IF(D148="　","",MID(G179,3,2))</f>
        <v>1</v>
      </c>
      <c r="L179" s="30">
        <f>IFERROR(D153*K179,"")</f>
        <v>10</v>
      </c>
    </row>
    <row r="180" spans="2:12" ht="12" customHeight="1">
      <c r="B180" s="6" t="s">
        <v>8</v>
      </c>
      <c r="C180" s="34" t="str">
        <f>IF(D148="　","",D148&amp;"用、NBR45相当")</f>
        <v>EHD5-4用、NBR45相当</v>
      </c>
      <c r="D180" s="35"/>
      <c r="E180" s="35"/>
      <c r="F180" s="36"/>
      <c r="G180" s="52" t="str">
        <f>"N=1"</f>
        <v>N=1</v>
      </c>
      <c r="H180" s="64"/>
      <c r="I180" s="53"/>
      <c r="J180" s="7" t="s">
        <v>13</v>
      </c>
      <c r="K180" s="130" t="str">
        <f>IF(D148="　","",MID(G180,3,2))</f>
        <v>1</v>
      </c>
      <c r="L180" s="30">
        <f>IFERROR(D153*K180,"")</f>
        <v>10</v>
      </c>
    </row>
    <row r="181" spans="2:12" ht="12" customHeight="1">
      <c r="B181" s="6" t="s">
        <v>9</v>
      </c>
      <c r="C181" s="34" t="str">
        <f>IF(D148="　","","EHD"&amp;IF(MID(D148,4,1)="5",_xlfn.IFS(VALUE(MID(D148,6,2))=3,"5-3",VALUE(MID(D148,6,2))&lt;5,"5-4",VALUE(MID(D148,6,2))&lt;8,"5-7",VALUE(MID(D148,6,2))&gt;7,"5-12"),_xlfn.IFS(VALUE(MID(D148,6,2))=3,"6-3",VALUE(MID(D148,6,2))&lt;5,"6-4",VALUE(MID(D148,6,2))&lt;8,"6-7",VALUE(MID(D148,6,2))&gt;7,"6-12"))&amp;"用、ポリエチレン")</f>
        <v>EHD5-4用、ポリエチレン</v>
      </c>
      <c r="D181" s="35"/>
      <c r="E181" s="35"/>
      <c r="F181" s="36"/>
      <c r="G181" s="52" t="str">
        <f>"N=1"</f>
        <v>N=1</v>
      </c>
      <c r="H181" s="64"/>
      <c r="I181" s="53"/>
      <c r="J181" s="7" t="s">
        <v>13</v>
      </c>
      <c r="K181" s="130" t="str">
        <f>IF(D148="　","",MID(G181,3,2))</f>
        <v>1</v>
      </c>
      <c r="L181" s="30">
        <f>IFERROR(D153*K181,"")</f>
        <v>10</v>
      </c>
    </row>
    <row r="182" spans="2:12" ht="12" customHeight="1">
      <c r="B182" s="6" t="s">
        <v>10</v>
      </c>
      <c r="C182" s="34" t="str">
        <f>IF(D148="　","","PCコート")</f>
        <v>PCコート</v>
      </c>
      <c r="D182" s="35"/>
      <c r="E182" s="35"/>
      <c r="F182" s="36"/>
      <c r="G182" s="149" t="str" cm="1">
        <f t="array" ref="G182">IF(D148="　","","W="&amp;IF(MID(D148,4,1)="5",_xlfn.IFS(VALUE(MID(D148,6,2))&lt;4,2,VALUE(MID(D148,6,2))&lt;5,2,VALUE(MID(D148,6,2))&lt;8,2.7,VALUE(MID(D148,6,2))&gt;7,5),_xlfn.IFS(VALUE(MID(D148,6,2))=1,2,VALUE(MID(D148,6,2))&lt;3,2,VALUE(MID(D148,6,2))&lt;5,2.7,VALUE(MID(D148,6,2))&lt;8,5,VALUE(MID(D148,6,2))&gt;7,12.3)))</f>
        <v>W=2</v>
      </c>
      <c r="H182" s="80"/>
      <c r="I182" s="81"/>
      <c r="J182" s="7" t="s">
        <v>11</v>
      </c>
      <c r="K182" s="132" t="str">
        <f>IF(D148="　","",MID(G182,3,4))</f>
        <v>2</v>
      </c>
      <c r="L182" s="30">
        <f>IFERROR(D153*K182,"")</f>
        <v>20</v>
      </c>
    </row>
    <row r="183" spans="2:12" ht="12" customHeight="1">
      <c r="B183" s="6" t="str">
        <f>IF(D150="なし","",B150)</f>
        <v/>
      </c>
      <c r="C183" s="56" t="str" cm="1">
        <f t="array" ref="C183">IF(D148="　","",IF(D150="なし","",_xlfn.IFS(MID(B150,1,3)="のり面",_xlfn.IFS(VALUE(MID(D148,6,2))&lt;5,"ST170",VALUE(MID(D148,6,2))&lt;8,"ST200",VALUE(MID(D148,6,2))&lt;13,"ST220")&amp;"、FCD450相当",OR(MID(B150,1,3)="構造物",MID(B150,1,3)="土留め"),D148&amp;"用"&amp;IF(OR(MID(B150,1,3)="構造物",D151="　"),"",D151&amp;"/"&amp;E151))&amp;"、防食："&amp;IF(D149="防食Ⅱ","亜鉛めっき処理","ｱﾙﾐﾅｲｽﾞ処理")))</f>
        <v/>
      </c>
      <c r="D183" s="35"/>
      <c r="E183" s="35"/>
      <c r="F183" s="36"/>
      <c r="G183" s="52" t="str">
        <f>IF(D150="なし","","N=1")</f>
        <v/>
      </c>
      <c r="H183" s="64"/>
      <c r="I183" s="53"/>
      <c r="J183" s="7" t="s">
        <v>26</v>
      </c>
      <c r="K183" s="130" t="str">
        <f>IF(D148="　","",MID(G183,3,2))</f>
        <v/>
      </c>
      <c r="L183" s="30" t="str">
        <f>IF(K183="","",D153*K183)</f>
        <v/>
      </c>
    </row>
    <row r="184" spans="2:12" ht="12" customHeight="1">
      <c r="B184" s="6" t="str">
        <f>IF(D152="なし","","フリーパッカー注入ホース")</f>
        <v/>
      </c>
      <c r="C184" s="34" t="str">
        <f>IF(OR(D148="　",B184=""),"","16/20")</f>
        <v/>
      </c>
      <c r="D184" s="35"/>
      <c r="E184" s="35"/>
      <c r="F184" s="36"/>
      <c r="G184" s="56" t="str">
        <f>IF(B184="","","L=自由長+余長")</f>
        <v/>
      </c>
      <c r="H184" s="63"/>
      <c r="I184" s="106"/>
      <c r="J184" s="7" t="s">
        <v>12</v>
      </c>
      <c r="K184" s="30" t="str">
        <f>IF(D148="　","",IF(B184="","",MROUND(D155+D157,0.1)))</f>
        <v/>
      </c>
      <c r="L184" s="30" t="str">
        <f>IF(K184="","",D153*K184)</f>
        <v/>
      </c>
    </row>
    <row r="185" spans="2:12" ht="12" customHeight="1">
      <c r="B185" s="9" t="str">
        <f>IF(D152="なし","","フリーパッカー")</f>
        <v/>
      </c>
      <c r="C185" s="52" t="str" cm="1">
        <f t="array" ref="C185">IF(OR(D148="　",B184=""),"",_xlfn.IFS(D163=90,"PA-170",D163=115,"PA-200",D163&lt;147,"PA-240",D163&gt;147,"PA-350"))</f>
        <v/>
      </c>
      <c r="D185" s="35"/>
      <c r="E185" s="35"/>
      <c r="F185" s="36"/>
      <c r="G185" s="57" t="str">
        <f>IF(B185="","","L=自由長+0.5m")</f>
        <v/>
      </c>
      <c r="H185" s="65"/>
      <c r="I185" s="107"/>
      <c r="J185" s="10" t="s">
        <v>12</v>
      </c>
      <c r="K185" s="30" t="str">
        <f>IF(D148="　","",IF(B185="","",MROUND(K149+0.5,0.1)))</f>
        <v/>
      </c>
      <c r="L185" s="30" t="str">
        <f>IF(K185="","",D153*K185)</f>
        <v/>
      </c>
    </row>
    <row r="186" spans="2:12" ht="12" customHeight="1">
      <c r="B186" s="11" t="str">
        <f>IF(D152="なし","","パッカー取付加工")</f>
        <v/>
      </c>
      <c r="C186" s="42"/>
      <c r="D186" s="37"/>
      <c r="E186" s="37"/>
      <c r="F186" s="38"/>
      <c r="G186" s="131" t="str">
        <f>IF(B186="","","N=1")</f>
        <v/>
      </c>
      <c r="H186" s="66"/>
      <c r="I186" s="54"/>
      <c r="J186" s="12" t="s">
        <v>27</v>
      </c>
      <c r="K186" s="133" t="str">
        <f>IF(D148="　","",MID(G186,3,2))</f>
        <v/>
      </c>
      <c r="L186" s="11" t="str">
        <f>IF(K186="","",D153*K186)</f>
        <v/>
      </c>
    </row>
    <row r="187" spans="2:12" ht="12" customHeight="1">
      <c r="B187" s="14" t="s">
        <v>30</v>
      </c>
      <c r="C187" s="43" t="s">
        <v>31</v>
      </c>
      <c r="D187" s="40"/>
      <c r="E187" s="40"/>
      <c r="F187" s="41"/>
      <c r="G187" s="59" t="s">
        <v>56</v>
      </c>
      <c r="H187" s="67"/>
      <c r="I187" s="108"/>
      <c r="J187" s="2" t="s">
        <v>55</v>
      </c>
      <c r="K187" s="31">
        <f>IFERROR(MROUND(0.25*PI()*(0.001*D163)^2*(D155+D156+D161+D160)*(1+2.2),0.01),"")</f>
        <v>0.63</v>
      </c>
      <c r="L187" s="31">
        <f>IFERROR(D153*K187,"")</f>
        <v>6.3</v>
      </c>
    </row>
    <row r="190" spans="2:12" ht="12" customHeight="1">
      <c r="B190" s="251" t="s">
        <v>88</v>
      </c>
      <c r="C190" s="251"/>
      <c r="D190" s="251"/>
    </row>
    <row r="191" spans="2:12" ht="12" customHeight="1">
      <c r="B191" s="15" t="s">
        <v>111</v>
      </c>
      <c r="C191" s="15"/>
      <c r="D191" s="1"/>
      <c r="E191" s="1"/>
      <c r="F191" s="1"/>
      <c r="I191" s="119"/>
      <c r="K191" s="118"/>
    </row>
    <row r="192" spans="2:12" ht="12" customHeight="1">
      <c r="B192" s="111" t="s">
        <v>131</v>
      </c>
      <c r="C192" s="3"/>
      <c r="D192" s="1"/>
      <c r="E192" s="1"/>
      <c r="F192" s="1"/>
      <c r="G192" s="8"/>
      <c r="H192" s="8"/>
      <c r="I192" s="102"/>
      <c r="J192" s="28"/>
      <c r="K192" s="118"/>
    </row>
    <row r="193" spans="2:12" ht="12" customHeight="1">
      <c r="B193" s="15" t="s">
        <v>40</v>
      </c>
      <c r="C193" s="3"/>
      <c r="D193" s="1"/>
      <c r="E193" s="1"/>
      <c r="F193" s="1"/>
      <c r="G193" s="15" t="s">
        <v>54</v>
      </c>
      <c r="H193" s="15"/>
      <c r="I193" s="102"/>
      <c r="J193" s="28"/>
    </row>
    <row r="194" spans="2:12" ht="12" customHeight="1">
      <c r="B194" s="2" t="s">
        <v>53</v>
      </c>
      <c r="C194" s="2" t="s">
        <v>21</v>
      </c>
      <c r="D194" s="2" t="s">
        <v>22</v>
      </c>
      <c r="E194" s="2" t="s">
        <v>84</v>
      </c>
      <c r="F194" s="17"/>
      <c r="G194" s="2" t="s">
        <v>41</v>
      </c>
      <c r="H194" s="97" t="s">
        <v>59</v>
      </c>
      <c r="I194" s="49" t="s">
        <v>44</v>
      </c>
      <c r="J194" s="2" t="s">
        <v>21</v>
      </c>
      <c r="K194" s="49" t="s">
        <v>29</v>
      </c>
      <c r="L194" s="2" t="s">
        <v>28</v>
      </c>
    </row>
    <row r="195" spans="2:12" ht="12" customHeight="1">
      <c r="B195" s="51" t="s">
        <v>37</v>
      </c>
      <c r="C195" s="50" t="s">
        <v>38</v>
      </c>
      <c r="D195" s="70" t="s">
        <v>116</v>
      </c>
      <c r="E195" s="137" t="s">
        <v>71</v>
      </c>
      <c r="F195" s="17"/>
      <c r="G195" s="86" t="str">
        <f>IF(D208=0,"",G196)</f>
        <v/>
      </c>
      <c r="H195" s="87" t="str">
        <f>IF(D208=0,"",H197&amp;" (背面管部）")</f>
        <v/>
      </c>
      <c r="I195" s="88" t="str">
        <f>IF(D208=0,"",D209)</f>
        <v/>
      </c>
      <c r="J195" s="89" t="str">
        <f>IF(D208=0,"","m")</f>
        <v/>
      </c>
      <c r="K195" s="90" t="str">
        <f>IF(D208=0,"",D208)</f>
        <v/>
      </c>
      <c r="L195" s="29" t="str">
        <f>IF(D208=0,"",D200*K195)</f>
        <v/>
      </c>
    </row>
    <row r="196" spans="2:12" ht="12" customHeight="1">
      <c r="B196" s="52" t="s">
        <v>39</v>
      </c>
      <c r="C196" s="91" t="s">
        <v>38</v>
      </c>
      <c r="D196" s="71" t="s">
        <v>60</v>
      </c>
      <c r="E196" s="138"/>
      <c r="F196" s="17"/>
      <c r="G196" s="68" t="s">
        <v>43</v>
      </c>
      <c r="H196" s="68" t="s">
        <v>113</v>
      </c>
      <c r="I196" s="88" t="str" cm="1">
        <f t="array" ref="I196">_xlfn.IFS(AND(G196&lt;&gt;"非削孔",G196&lt;&gt;"無設定"),D210,G196="非削孔",IF(MID(B197,1,3)="土留め","非削孔","箱抜き"),G196="無設定","無設定")</f>
        <v>箱抜き</v>
      </c>
      <c r="J196" s="23" t="str">
        <f>IF(G196="無設定","","m")</f>
        <v>m</v>
      </c>
      <c r="K196" s="69">
        <v>0.5</v>
      </c>
      <c r="L196" s="30">
        <f>D200*K196</f>
        <v>5</v>
      </c>
    </row>
    <row r="197" spans="2:12" ht="12" customHeight="1">
      <c r="B197" s="115" t="s">
        <v>86</v>
      </c>
      <c r="C197" s="91" t="s">
        <v>38</v>
      </c>
      <c r="D197" s="83" t="s">
        <v>51</v>
      </c>
      <c r="E197" s="139" t="str">
        <f>IF(OR(MID(B197,1,3)&lt;&gt;"土留め",D197="なし"),"","腹起し")</f>
        <v/>
      </c>
      <c r="F197" s="140"/>
      <c r="G197" s="68" t="s">
        <v>49</v>
      </c>
      <c r="H197" s="68" t="s">
        <v>114</v>
      </c>
      <c r="I197" s="88" cm="1">
        <f t="array" ref="I197">_xlfn.IFS(AND(G197&lt;&gt;"非削孔",G197&lt;&gt;"無設定"),D210,G197="非削孔","箱抜き",G197="無設定","無設定")</f>
        <v>90</v>
      </c>
      <c r="J197" s="23" t="str">
        <f t="shared" ref="J197:J205" si="5">IF(G197="無設定","","m")</f>
        <v>m</v>
      </c>
      <c r="K197" s="69">
        <v>2.64</v>
      </c>
      <c r="L197" s="30">
        <f>D200*K197</f>
        <v>26.400000000000002</v>
      </c>
    </row>
    <row r="198" spans="2:12" ht="12" customHeight="1">
      <c r="B198" s="114" t="str">
        <f>IF(OR(MID(B197,1,3)&lt;&gt;"土留め",D197="なし"),"",B197&amp;"の種類")</f>
        <v/>
      </c>
      <c r="C198" s="91" t="s">
        <v>38</v>
      </c>
      <c r="D198" s="113" t="s">
        <v>71</v>
      </c>
      <c r="E198" s="122" t="s">
        <v>71</v>
      </c>
      <c r="F198" s="141"/>
      <c r="G198" s="68" t="s">
        <v>49</v>
      </c>
      <c r="H198" s="68" t="s">
        <v>134</v>
      </c>
      <c r="I198" s="88" cm="1">
        <f t="array" ref="I198">_xlfn.IFS(AND(G198&lt;&gt;"非削孔",G198&lt;&gt;"無設定"),D210,G198="非削孔","箱抜き",G198="無設定","無設定")</f>
        <v>90</v>
      </c>
      <c r="J198" s="23" t="str">
        <f t="shared" si="5"/>
        <v>m</v>
      </c>
      <c r="K198" s="69">
        <v>8.86</v>
      </c>
      <c r="L198" s="30">
        <f>D200*K198</f>
        <v>88.6</v>
      </c>
    </row>
    <row r="199" spans="2:12" ht="12" customHeight="1">
      <c r="B199" s="147" t="s">
        <v>50</v>
      </c>
      <c r="C199" s="91" t="s">
        <v>38</v>
      </c>
      <c r="D199" s="83" t="s">
        <v>51</v>
      </c>
      <c r="E199" s="102"/>
      <c r="F199" s="21"/>
      <c r="G199" s="68" t="s">
        <v>49</v>
      </c>
      <c r="H199" s="68" t="s">
        <v>135</v>
      </c>
      <c r="I199" s="88" cm="1">
        <f t="array" ref="I199">_xlfn.IFS(AND(G199&lt;&gt;"非削孔",G199&lt;&gt;"無設定"),D210,G199="非削孔","箱抜き",G199="無設定","無設定")</f>
        <v>90</v>
      </c>
      <c r="J199" s="23" t="str">
        <f t="shared" si="5"/>
        <v>m</v>
      </c>
      <c r="K199" s="69">
        <v>6</v>
      </c>
      <c r="L199" s="30">
        <f>D200*K199</f>
        <v>60</v>
      </c>
    </row>
    <row r="200" spans="2:12" ht="12" customHeight="1">
      <c r="B200" s="157" t="s">
        <v>25</v>
      </c>
      <c r="C200" s="158" t="s">
        <v>24</v>
      </c>
      <c r="D200" s="162">
        <v>10</v>
      </c>
      <c r="E200" s="19"/>
      <c r="F200" s="21"/>
      <c r="G200" s="68" t="s">
        <v>48</v>
      </c>
      <c r="H200" s="68"/>
      <c r="I200" s="88" t="str" cm="1">
        <f t="array" ref="I200">_xlfn.IFS(AND(G200&lt;&gt;"非削孔",G200&lt;&gt;"無設定"),D210,G200="非削孔","箱抜き",G200="無設定","無設定")</f>
        <v>無設定</v>
      </c>
      <c r="J200" s="23" t="str">
        <f t="shared" si="5"/>
        <v/>
      </c>
      <c r="K200" s="69">
        <v>0</v>
      </c>
      <c r="L200" s="30">
        <f>D200*K200</f>
        <v>0</v>
      </c>
    </row>
    <row r="201" spans="2:12" ht="12" customHeight="1">
      <c r="B201" s="160" t="str" cm="1">
        <f t="array" ref="B201">"頭部自由長("&amp;_xlfn.IFS(AND(MID(B197,1,3)="土留め",D197="あり"),"腹起し+台座",AND(MID(B197,1,3)="土留め",D197="なし"),"台座なし",AND(MID(B197,1,3)="構造物",D197="あり"),"壁面台座",AND(MID(B197,1,3)="構造物",D197="なし"),"台座なし",AND(MID(B197,1,3)="のり面",D197="あり"),"角度台座＋受圧体",AND(MID(B197,1,3)="のり面",D197="なし"),"受圧体")&amp;")　"&amp;"Lfh"</f>
        <v>頭部自由長(受圧体)　Lfh</v>
      </c>
      <c r="C201" s="155" t="s">
        <v>23</v>
      </c>
      <c r="D201" s="161">
        <v>0.5</v>
      </c>
      <c r="E201" s="21"/>
      <c r="F201" s="21"/>
      <c r="G201" s="68" t="s">
        <v>48</v>
      </c>
      <c r="H201" s="68"/>
      <c r="I201" s="88" t="str" cm="1">
        <f t="array" ref="I201">_xlfn.IFS(AND(G201&lt;&gt;"非削孔",G201&lt;&gt;"無設定"),D210,G201="非削孔","箱抜き",G201="無設定","無設定")</f>
        <v>無設定</v>
      </c>
      <c r="J201" s="23" t="str">
        <f t="shared" si="5"/>
        <v/>
      </c>
      <c r="K201" s="69">
        <v>0</v>
      </c>
      <c r="L201" s="30">
        <f>D200*K201</f>
        <v>0</v>
      </c>
    </row>
    <row r="202" spans="2:12" ht="12" customHeight="1">
      <c r="B202" s="22" t="s">
        <v>108</v>
      </c>
      <c r="C202" s="23" t="s">
        <v>23</v>
      </c>
      <c r="D202" s="47">
        <v>13.5</v>
      </c>
      <c r="E202" s="21"/>
      <c r="F202" s="21"/>
      <c r="G202" s="68" t="s">
        <v>48</v>
      </c>
      <c r="H202" s="68"/>
      <c r="I202" s="88" t="str" cm="1">
        <f t="array" ref="I202">_xlfn.IFS(AND(G202&lt;&gt;"非削孔",G202&lt;&gt;"無設定"),#REF!,G202="非削孔","箱抜き",G202="無設定","無設定")</f>
        <v>無設定</v>
      </c>
      <c r="J202" s="23" t="str">
        <f t="shared" si="5"/>
        <v/>
      </c>
      <c r="K202" s="69">
        <v>0</v>
      </c>
      <c r="L202" s="30">
        <f>D200*K202</f>
        <v>0</v>
      </c>
    </row>
    <row r="203" spans="2:12" ht="12" customHeight="1">
      <c r="B203" s="157" t="s">
        <v>36</v>
      </c>
      <c r="C203" s="158" t="s">
        <v>23</v>
      </c>
      <c r="D203" s="159">
        <v>4</v>
      </c>
      <c r="E203" s="21"/>
      <c r="F203" s="21"/>
      <c r="G203" s="68" t="s">
        <v>48</v>
      </c>
      <c r="H203" s="68"/>
      <c r="I203" s="88" t="str" cm="1">
        <f t="array" ref="I203">_xlfn.IFS(AND(G203&lt;&gt;"非削孔",G203&lt;&gt;"無設定"),D210,G203="非削孔","箱抜き",G203="無設定","無設定")</f>
        <v>無設定</v>
      </c>
      <c r="J203" s="23" t="str">
        <f t="shared" si="5"/>
        <v/>
      </c>
      <c r="K203" s="69">
        <v>0</v>
      </c>
      <c r="L203" s="30">
        <f>D200*K203</f>
        <v>0</v>
      </c>
    </row>
    <row r="204" spans="2:12" ht="12" customHeight="1">
      <c r="B204" s="154" t="s">
        <v>69</v>
      </c>
      <c r="C204" s="155" t="s">
        <v>23</v>
      </c>
      <c r="D204" s="156" cm="1">
        <f t="array" ref="D204">IF(D195="　","──",_xlfn.IFS(AND(MID(D195,4,1)="5",1*MID(D195,6,2)&lt;8),1,AND(MID(D195,4,1)="5",1*MID(D195,6,2)&gt;7),1.5,AND(MID(D195,4,1)="6",1*MID(D195,6,2)&lt;6),1,AND(MID(D195,4,1)="6",1*MID(D195,6,2)&gt;5),1.5))</f>
        <v>1</v>
      </c>
      <c r="E204" s="21"/>
      <c r="G204" s="68" t="s">
        <v>48</v>
      </c>
      <c r="H204" s="68"/>
      <c r="I204" s="88" t="str" cm="1">
        <f t="array" ref="I204">_xlfn.IFS(AND(G204&lt;&gt;"非削孔",G204&lt;&gt;"無設定"),D210,G204="非削孔","箱抜き",G204="無設定","無設定")</f>
        <v>無設定</v>
      </c>
      <c r="J204" s="23" t="str">
        <f t="shared" si="5"/>
        <v/>
      </c>
      <c r="K204" s="69">
        <v>0</v>
      </c>
      <c r="L204" s="30">
        <f>D200*K204</f>
        <v>0</v>
      </c>
    </row>
    <row r="205" spans="2:12" ht="12" customHeight="1">
      <c r="B205" s="22" t="s">
        <v>125</v>
      </c>
      <c r="C205" s="23" t="s">
        <v>35</v>
      </c>
      <c r="D205" s="84">
        <f>IF(D195="　","──",0.2)</f>
        <v>0.2</v>
      </c>
      <c r="E205" s="120"/>
      <c r="F205" s="19"/>
      <c r="G205" s="99" t="str" cm="1">
        <f t="array" ref="G205">INDEX(G196:I204,MATCH("無設定",G196:G204,0)-1,MATCH(G194,G194:I194,0))</f>
        <v>軟　岩</v>
      </c>
      <c r="H205" s="100" t="str" cm="1">
        <f t="array" ref="H205">INDEX(G196:I204,MATCH("無設定",G196:G204,0)-1,MATCH(H194,G194:I194,0))&amp;"　(先端長 L2d)"</f>
        <v>風化岩 CL2　(先端長 L2d)</v>
      </c>
      <c r="I205" s="88" cm="1">
        <f t="array" ref="I205">INDEX(G196:I204,MATCH("無設定",G196:G204,0)-1,MATCH(I194,G194:I194,0))</f>
        <v>90</v>
      </c>
      <c r="J205" s="23" t="str">
        <f t="shared" si="5"/>
        <v>m</v>
      </c>
      <c r="K205" s="98">
        <f>D207</f>
        <v>0.25</v>
      </c>
      <c r="L205" s="78">
        <f>IFERROR(D200*K205,"")</f>
        <v>2.5</v>
      </c>
    </row>
    <row r="206" spans="2:12" ht="12" customHeight="1">
      <c r="B206" s="6" t="s">
        <v>126</v>
      </c>
      <c r="C206" s="23" t="s">
        <v>23</v>
      </c>
      <c r="D206" s="60">
        <f>IF(D195="　","──",SUM(D202:D204))</f>
        <v>18.5</v>
      </c>
      <c r="E206" s="121"/>
      <c r="F206" s="19"/>
      <c r="G206" s="72"/>
      <c r="H206" s="75" t="s">
        <v>124</v>
      </c>
      <c r="I206" s="103"/>
      <c r="J206" s="18" t="s">
        <v>23</v>
      </c>
      <c r="K206" s="74">
        <f>SUMIFS(K195:K205,G195:G205,"&lt;&gt;非削孔",G195:G205,"&lt;&gt;無設定")</f>
        <v>17.75</v>
      </c>
      <c r="L206" s="95">
        <f>SUMIFS(L195:L205,G195:G205,"&lt;&gt;非削孔",G195:G205,"&lt;&gt;無設定")</f>
        <v>177.5</v>
      </c>
    </row>
    <row r="207" spans="2:12" ht="12" customHeight="1">
      <c r="B207" s="25" t="s">
        <v>127</v>
      </c>
      <c r="C207" s="26" t="s">
        <v>23</v>
      </c>
      <c r="D207" s="27">
        <f>IF(D195="　","──",$N$1)</f>
        <v>0.25</v>
      </c>
      <c r="E207" s="121"/>
      <c r="F207" s="19"/>
      <c r="G207" s="73"/>
      <c r="H207" s="76" t="s">
        <v>47</v>
      </c>
      <c r="I207" s="104"/>
      <c r="J207" s="79" t="s">
        <v>46</v>
      </c>
      <c r="K207" s="77" t="str">
        <f>IF(D195="　","",IF(SUM(D201:D203,D208,D207)=K206+SUMIFS(K195:K205,G195:G205,"=非削孔"),"OK","NG"))</f>
        <v>OK</v>
      </c>
      <c r="L207" s="145" t="str">
        <f>IF(K207&lt;&gt;"NG","──",K206+SUMIFS(K195:K205,G195:G205,"=非削孔")-SUM(D201:D203,D208,D207))</f>
        <v>──</v>
      </c>
    </row>
    <row r="208" spans="2:12" ht="12" customHeight="1">
      <c r="B208" s="22" t="s">
        <v>73</v>
      </c>
      <c r="C208" s="23" t="s">
        <v>35</v>
      </c>
      <c r="D208" s="85">
        <v>0</v>
      </c>
      <c r="E208" s="123"/>
      <c r="F208" s="19"/>
      <c r="G208" s="94" t="s">
        <v>58</v>
      </c>
      <c r="H208" s="252" t="s">
        <v>110</v>
      </c>
      <c r="I208" s="253"/>
      <c r="J208" s="253"/>
      <c r="K208" s="253"/>
      <c r="L208" s="254"/>
    </row>
    <row r="209" spans="2:12" ht="12" customHeight="1">
      <c r="B209" s="22" t="str">
        <f>IF(D195="　","",IF(D208=0,"","頭部背面管削孔径　Dh"))</f>
        <v/>
      </c>
      <c r="C209" s="23" t="str">
        <f>IF(D195="　","",IF(D208=0,"","mm"))</f>
        <v/>
      </c>
      <c r="D209" s="93" t="str" cm="1">
        <f t="array" ref="D209">IF(D195="　","",IF(D208=0,"",IF(MID(D195,4,1)="5",_xlfn.IFS(VALUE(MID(D195,6,2))&lt;7,115,VALUE(MID(D195,6,2))&gt;6,135),"未設定")))</f>
        <v/>
      </c>
      <c r="E209" s="121"/>
      <c r="F209" s="1"/>
      <c r="G209" s="8"/>
      <c r="H209" s="8"/>
      <c r="I209" s="102"/>
    </row>
    <row r="210" spans="2:12" ht="12" customHeight="1">
      <c r="B210" s="95" t="s">
        <v>123</v>
      </c>
      <c r="C210" s="18" t="s">
        <v>32</v>
      </c>
      <c r="D210" s="153">
        <v>90</v>
      </c>
      <c r="E210" s="151"/>
      <c r="F210" s="1"/>
      <c r="G210" s="8"/>
      <c r="H210" s="8"/>
      <c r="I210" s="102"/>
    </row>
    <row r="211" spans="2:12" ht="12" customHeight="1">
      <c r="B211" s="25" t="s">
        <v>122</v>
      </c>
      <c r="C211" s="26" t="s">
        <v>32</v>
      </c>
      <c r="D211" s="152" cm="1">
        <f t="array" ref="D211">IF(D195="　","──",IF(D199="なし",IF(MID(D195,4,1)="5",_xlfn.IFS(VALUE(MID(D195,6,2))&lt;6,90,VALUE(MID(D195,6,2))&lt;9,115,VALUE(MID(D195,6,2))&gt;8,135),_xlfn.IFS(VALUE(MID(D195,6,2))&lt;4,90,VALUE(MID(D195,6,2))&lt;10,135,VALUE(MID(D195,6,2))&gt;9,146)),IF(MID(D195,4,1)="5",_xlfn.IFS(VALUE(MID(D195,6,2))&lt;3,90,VALUE(MID(D195,6,2))&lt;7,115,VALUE(MID(D195,6,2))&lt;10,135,VALUE(MID(D195,6,2))&gt;9,146),_xlfn.IFS(VALUE(MID(D195,6,2))&lt;3,90,VALUE(MID(D195,6,2))&lt;4,115,VALUE(MID(D195,6,2))&lt;6,135,VALUE(MID(D195,6,2))&lt;10,146,VALUE(MID(D195,6,2))&gt;9,165))))</f>
        <v>90</v>
      </c>
      <c r="E211" s="117"/>
      <c r="F211" s="1"/>
      <c r="G211" s="8"/>
      <c r="H211" s="8"/>
      <c r="I211" s="102"/>
    </row>
    <row r="212" spans="2:12" ht="12" customHeight="1">
      <c r="E212" s="117"/>
      <c r="F212" s="1"/>
      <c r="G212" s="8"/>
      <c r="H212" s="8"/>
      <c r="I212" s="102"/>
    </row>
    <row r="213" spans="2:12" ht="12" customHeight="1">
      <c r="B213" s="15" t="str">
        <f>"■"&amp;MID(B190,2,13)</f>
        <v>■長期：EHDアンカー数量表</v>
      </c>
      <c r="C213" s="3"/>
      <c r="D213" s="1"/>
      <c r="E213" s="1"/>
      <c r="F213" s="1"/>
      <c r="G213" s="8"/>
      <c r="H213" s="8"/>
      <c r="I213" s="102"/>
    </row>
    <row r="214" spans="2:12" ht="12" customHeight="1">
      <c r="B214" s="2" t="s">
        <v>17</v>
      </c>
      <c r="C214" s="43"/>
      <c r="D214" s="134"/>
      <c r="E214" s="61" t="s">
        <v>78</v>
      </c>
      <c r="F214" s="135"/>
      <c r="G214" s="16"/>
      <c r="H214" s="61" t="s">
        <v>42</v>
      </c>
      <c r="I214" s="97"/>
      <c r="J214" s="2" t="s">
        <v>21</v>
      </c>
      <c r="K214" s="49" t="s">
        <v>29</v>
      </c>
      <c r="L214" s="2" t="s">
        <v>28</v>
      </c>
    </row>
    <row r="215" spans="2:12" ht="12" customHeight="1">
      <c r="B215" s="4" t="s">
        <v>19</v>
      </c>
      <c r="C215" s="39" t="str">
        <f>IF(D195="　","",D195&amp;" ("&amp;MID(D195,6,2)&amp;IF(MID(D195,4,1)="5","φ12.7","φ15.2")&amp;")")</f>
        <v>EHD5-2 (2φ12.7)</v>
      </c>
      <c r="D215" s="32"/>
      <c r="E215" s="32"/>
      <c r="F215" s="33"/>
      <c r="G215" s="55" t="str">
        <f>"W=(テンドン長+先端長0.2m)×鋼線本数×"&amp;IF(MID(D195,4,1)="5","0.774","1.101")&amp;"kg/m"</f>
        <v>W=(テンドン長+先端長0.2m)×鋼線本数×0.774kg/m</v>
      </c>
      <c r="H215" s="62"/>
      <c r="I215" s="105"/>
      <c r="J215" s="5" t="s">
        <v>11</v>
      </c>
      <c r="K215" s="29">
        <f>IF(D195="　","",MROUND((D206+D205)*MID(D195,6,2)*IF(MID(D195,4,1)="5","0.774","1.101"),0.01))</f>
        <v>28.95</v>
      </c>
      <c r="L215" s="29">
        <f>IFERROR(D200*K215,"")</f>
        <v>289.5</v>
      </c>
    </row>
    <row r="216" spans="2:12" ht="12" customHeight="1">
      <c r="B216" s="6" t="s">
        <v>20</v>
      </c>
      <c r="C216" s="34"/>
      <c r="D216" s="35"/>
      <c r="E216" s="35"/>
      <c r="F216" s="36"/>
      <c r="G216" s="56" t="s">
        <v>33</v>
      </c>
      <c r="H216" s="63"/>
      <c r="I216" s="106"/>
      <c r="J216" s="7" t="s">
        <v>12</v>
      </c>
      <c r="K216" s="30">
        <f>IF(D195="　","",MROUND(D206,0.1))</f>
        <v>18.5</v>
      </c>
      <c r="L216" s="30">
        <f>IFERROR(D200*K216,"")</f>
        <v>185</v>
      </c>
    </row>
    <row r="217" spans="2:12" ht="12" customHeight="1">
      <c r="B217" s="6" t="s">
        <v>0</v>
      </c>
      <c r="C217" s="34" t="str">
        <f>IF(D195="　","","16/20")</f>
        <v>16/20</v>
      </c>
      <c r="D217" s="35"/>
      <c r="E217" s="35"/>
      <c r="F217" s="36"/>
      <c r="G217" s="56" t="s">
        <v>33</v>
      </c>
      <c r="H217" s="63"/>
      <c r="I217" s="106"/>
      <c r="J217" s="7" t="s">
        <v>12</v>
      </c>
      <c r="K217" s="30">
        <f>IF(D195="　","",MROUND(D206,0.1))</f>
        <v>18.5</v>
      </c>
      <c r="L217" s="30">
        <f>IFERROR(D200*K217,"")</f>
        <v>185</v>
      </c>
    </row>
    <row r="218" spans="2:12" ht="12" customHeight="1">
      <c r="B218" s="6" t="s">
        <v>1</v>
      </c>
      <c r="C218" s="34" t="str" cm="1">
        <f t="array" ref="C218">IF(D195="　","",IF(MID(D195,4,1)="5",_xlfn.IFS(VALUE(MID(D195,6,2))&lt;5,"5-4",VALUE(MID(D195,6,2))&lt;8,"5-7",VALUE(MID(D195,6,2))&lt;10,"5-9",VALUE(MID(D195,6,2))&gt;9,"5-12"),_xlfn.IFS(VALUE(MID(D195,6,2))&lt;8,"6-7",VALUE(MID(D195,6,2))&lt;13,"6-12",VALUE(MID(D195,6,2))&gt;12,"6-19"))&amp;"用、ポリプロピレン")</f>
        <v>5-4用、ポリプロピレン</v>
      </c>
      <c r="D218" s="35"/>
      <c r="E218" s="35"/>
      <c r="F218" s="36"/>
      <c r="G218" s="52" t="str">
        <f>"N=1"</f>
        <v>N=1</v>
      </c>
      <c r="H218" s="64"/>
      <c r="I218" s="53"/>
      <c r="J218" s="7" t="s">
        <v>13</v>
      </c>
      <c r="K218" s="130" t="str">
        <f>IF(D195="　","",MID(G218,3,2))</f>
        <v>1</v>
      </c>
      <c r="L218" s="30">
        <f>IFERROR(D200*K218,"")</f>
        <v>10</v>
      </c>
    </row>
    <row r="219" spans="2:12" ht="12" customHeight="1">
      <c r="B219" s="6" t="s">
        <v>2</v>
      </c>
      <c r="C219" s="34" t="str" cm="1">
        <f t="array" ref="C219">IF(D195="　","",IF(MID(D195,4,1)="5",_xlfn.IFS(VALUE(MID(D195,6,2))&lt;6,"5-5",VALUE(MID(D195,6,2))&lt;9,"5-8",VALUE(MID(D195,6,2))&gt;8,"5-12"),_xlfn.IFS(VALUE(MID(D195,6,2))&lt;13,"6-12",VALUE(MID(D195,6,2))&lt;17,"6-16",VALUE(MID(D195,6,2))&gt;16,"6-20"))&amp;"用、ポリプロピレン")</f>
        <v>5-5用、ポリプロピレン</v>
      </c>
      <c r="D219" s="35"/>
      <c r="E219" s="35"/>
      <c r="F219" s="36"/>
      <c r="G219" s="127" t="s">
        <v>120</v>
      </c>
      <c r="H219" s="63"/>
      <c r="I219" s="106"/>
      <c r="J219" s="7" t="s">
        <v>13</v>
      </c>
      <c r="K219" s="6">
        <f>IF(D195="　","",MROUND((D203-0.5)/1,1))</f>
        <v>4</v>
      </c>
      <c r="L219" s="30">
        <f>IFERROR(D200*K219,"")</f>
        <v>40</v>
      </c>
    </row>
    <row r="220" spans="2:12" ht="12" customHeight="1">
      <c r="B220" s="6" t="s">
        <v>3</v>
      </c>
      <c r="C220" s="34" t="str">
        <f>IF(D195="　","","AB350")</f>
        <v>AB350</v>
      </c>
      <c r="D220" s="35"/>
      <c r="E220" s="35"/>
      <c r="F220" s="36"/>
      <c r="G220" s="127" t="s">
        <v>34</v>
      </c>
      <c r="H220" s="63"/>
      <c r="I220" s="106"/>
      <c r="J220" s="7" t="s">
        <v>14</v>
      </c>
      <c r="K220" s="6">
        <f>IF(D195="　","",2*K219)</f>
        <v>8</v>
      </c>
      <c r="L220" s="30">
        <f>IFERROR(D200*K220,"")</f>
        <v>80</v>
      </c>
    </row>
    <row r="221" spans="2:12" ht="12" customHeight="1">
      <c r="B221" s="6" t="s">
        <v>4</v>
      </c>
      <c r="C221" s="34"/>
      <c r="D221" s="35"/>
      <c r="E221" s="35"/>
      <c r="F221" s="36"/>
      <c r="G221" s="127" t="str">
        <f>IF(D195="　","","L=((自由長+緊張余長)÷@1.0m)×ﾃﾝﾄﾞﾝ係数"&amp;IF(MID(D195,4,1)="5",_xlfn.IFS(VALUE(MID(D195,6,2))=1,"0.6",VALUE(MID(D195,6,2))&lt;5,"1.0",VALUE(MID(D195,6,2))&lt;8,"1.1",VALUE(MID(D195,6,2))&gt;7,"1.2"),_xlfn.IFS(VALUE(MID(D195,6,2))=1,"0.7",VALUE(MID(D195,6,2))&lt;5,"1.1",VALUE(MID(D195,6,2))&lt;8,"1.2",VALUE(MID(D195,6,2))&gt;7,"1.3")))</f>
        <v>L=((自由長+緊張余長)÷@1.0m)×ﾃﾝﾄﾞﾝ係数1.0</v>
      </c>
      <c r="H221" s="63"/>
      <c r="I221" s="106"/>
      <c r="J221" s="7" t="s">
        <v>12</v>
      </c>
      <c r="K221" s="136">
        <f>IF(D195="　","",MROUND((SUM(D202,D201:D204))/1*RIGHT(G221, 3),0.1))</f>
        <v>32.5</v>
      </c>
      <c r="L221" s="30">
        <f>IFERROR(D200*K221,"")</f>
        <v>325</v>
      </c>
    </row>
    <row r="222" spans="2:12" ht="12" customHeight="1">
      <c r="B222" s="6" t="str">
        <f>"ヘッドキャップ"&amp;IF(LEFT(E195,2)="窓付"," (目視型)","")</f>
        <v>ヘッドキャップ</v>
      </c>
      <c r="C222" s="34" t="str" cm="1">
        <f t="array" ref="C222">IF(D195="　","",IF(MID(D195,4,1)="5",_xlfn.IFS(VALUE(MID(D195,6,2))&lt;5,"5-4",VALUE(MID(D195,6,2))&lt;8,"5-7",VALUE(MID(D195,6,2))&gt;7,"5-12"),"未設定")&amp;"用RN型、AC4C相当"&amp;IF(D196="防食Ⅱ","","、防食：タケコート処理"))</f>
        <v>5-4用RN型、AC4C相当</v>
      </c>
      <c r="D222" s="44"/>
      <c r="E222" s="44"/>
      <c r="F222" s="45"/>
      <c r="G222" s="52" t="str">
        <f>"N=1"</f>
        <v>N=1</v>
      </c>
      <c r="H222" s="64"/>
      <c r="I222" s="53"/>
      <c r="J222" s="7" t="s">
        <v>13</v>
      </c>
      <c r="K222" s="130" t="str">
        <f>IF(D195="　","",MID(G222,3,2))</f>
        <v>1</v>
      </c>
      <c r="L222" s="30">
        <f>IFERROR(D200*K222,"")</f>
        <v>10</v>
      </c>
    </row>
    <row r="223" spans="2:12" ht="12" customHeight="1">
      <c r="B223" s="6" t="s">
        <v>5</v>
      </c>
      <c r="C223" s="34" t="str" cm="1">
        <f t="array" ref="C223">IF(D195="　","",IF(MID(D195,4,1)="5",_xlfn.IFS(VALUE(MID(D195,6,2))&lt;3,"5-2",VALUE(MID(D195,6,2))&lt;4,"5-3",VALUE(MID(D195,6,2))&lt;5,"5-4",VALUE(MID(D195,6,2))&lt;8,"5-7",VALUE(MID(D195,6,2))&lt;10,"5-9",VALUE(MID(D195,6,2))&gt;9,"5-12"),_xlfn.IFS(VALUE(MID(D195,6,2))&lt;8,"6-7",VALUE(MID(D195,6,2))&gt;7,"6-12"))&amp;"用、S45C相当")</f>
        <v>5-2用、S45C相当</v>
      </c>
      <c r="D223" s="35"/>
      <c r="E223" s="35"/>
      <c r="F223" s="36"/>
      <c r="G223" s="52" t="str">
        <f>"N=1"</f>
        <v>N=1</v>
      </c>
      <c r="H223" s="64"/>
      <c r="I223" s="53"/>
      <c r="J223" s="7" t="s">
        <v>13</v>
      </c>
      <c r="K223" s="130" t="str">
        <f>IF(D195="　","",MID(G223,3,2))</f>
        <v>1</v>
      </c>
      <c r="L223" s="30">
        <f>IFERROR(D200*K223,"")</f>
        <v>10</v>
      </c>
    </row>
    <row r="224" spans="2:12" ht="12" customHeight="1">
      <c r="B224" s="6" t="s">
        <v>6</v>
      </c>
      <c r="C224" s="34" t="str" cm="1">
        <f t="array" ref="C224">IF(D195="　","",IF(MID(D195,4,1)="5",_xlfn.IFS(VALUE(MID(D195,6,2))&lt;3,"5-2",VALUE(MID(D195,6,2))&lt;4,"5-3",VALUE(MID(D195,6,2))&lt;5,"5-4",VALUE(MID(D195,6,2))&lt;8,"5-7",VALUE(MID(D195,6,2))&lt;10,"5-9",VALUE(MID(D195,6,2))&gt;9,"5-12"),_xlfn.IFS(VALUE(MID(D195,6,2))&lt;8,"6-7",VALUE(MID(D195,6,2))&gt;7,"6-12"))&amp;"用、S45C相当")</f>
        <v>5-2用、S45C相当</v>
      </c>
      <c r="D224" s="35"/>
      <c r="E224" s="35"/>
      <c r="F224" s="36"/>
      <c r="G224" s="52" t="str">
        <f>"N=1"</f>
        <v>N=1</v>
      </c>
      <c r="H224" s="64"/>
      <c r="I224" s="53"/>
      <c r="J224" s="7" t="s">
        <v>13</v>
      </c>
      <c r="K224" s="130" t="str">
        <f>IF(D195="　","",MID(G224,3,2))</f>
        <v>1</v>
      </c>
      <c r="L224" s="30">
        <f>IFERROR(D200*K224,"")</f>
        <v>10</v>
      </c>
    </row>
    <row r="225" spans="2:12" ht="12" customHeight="1">
      <c r="B225" s="6" t="s">
        <v>7</v>
      </c>
      <c r="C225" s="34" t="str">
        <f>IF(D195="　","",D195&amp;"用、SCM415相当")</f>
        <v>EHD5-2用、SCM415相当</v>
      </c>
      <c r="D225" s="35"/>
      <c r="E225" s="35"/>
      <c r="F225" s="36"/>
      <c r="G225" s="52" t="str">
        <f>IF(D195="　","","N="&amp;VALUE(MID(D195,6,2)))</f>
        <v>N=2</v>
      </c>
      <c r="H225" s="64"/>
      <c r="I225" s="53"/>
      <c r="J225" s="7" t="s">
        <v>15</v>
      </c>
      <c r="K225" s="130" t="str">
        <f>IF(D195="　","",MID(G225,3,2))</f>
        <v>2</v>
      </c>
      <c r="L225" s="30">
        <f>IFERROR(D200*K225,"")</f>
        <v>20</v>
      </c>
    </row>
    <row r="226" spans="2:12" ht="12" customHeight="1">
      <c r="B226" s="6" t="s">
        <v>18</v>
      </c>
      <c r="C226" s="96" t="str" cm="1">
        <f t="array" ref="C226">IF(D195="　","",IF(MID(D195,4,1)="5",_xlfn.IFS(VALUE(MID(D195,6,2))&lt;3,"5-2",VALUE(MID(D195,6,2))&lt;4,"5-3",VALUE(MID(D195,6,2))&lt;5,"5-4",VALUE(MID(D195,6,2))&lt;8,"5-7",VALUE(MID(D195,6,2))&lt;10,"5-9",VALUE(MID(D195,6,2))&gt;9,"5-12"),_xlfn.IFS(VALUE(MID(D195,6,2))&lt;4,"6-3",VALUE(MID(D195,6,2))&lt;8,"6-7",VALUE(MID(D195,6,2))&gt;7,"6-12"))&amp;"用、SS400・STKM13A相当、防食："&amp;IF(D196="防食Ⅱ","亜鉛めっき処理","ｱﾙﾐﾅｲｽﾞ処理"))</f>
        <v>5-2用、SS400・STKM13A相当、防食：亜鉛めっき処理</v>
      </c>
      <c r="D226" s="35"/>
      <c r="E226" s="35"/>
      <c r="F226" s="36"/>
      <c r="G226" s="52" t="str">
        <f>"N=1"</f>
        <v>N=1</v>
      </c>
      <c r="H226" s="64"/>
      <c r="I226" s="53"/>
      <c r="J226" s="7" t="s">
        <v>16</v>
      </c>
      <c r="K226" s="130" t="str">
        <f>IF(D195="　","",MID(G226,3,2))</f>
        <v>1</v>
      </c>
      <c r="L226" s="30">
        <f>IFERROR(D200*K226,"")</f>
        <v>10</v>
      </c>
    </row>
    <row r="227" spans="2:12" ht="12" customHeight="1">
      <c r="B227" s="6" t="s">
        <v>8</v>
      </c>
      <c r="C227" s="34" t="str">
        <f>IF(D195="　","",D195&amp;"用、NBR45相当")</f>
        <v>EHD5-2用、NBR45相当</v>
      </c>
      <c r="D227" s="35"/>
      <c r="E227" s="35"/>
      <c r="F227" s="36"/>
      <c r="G227" s="52" t="str">
        <f>"N=1"</f>
        <v>N=1</v>
      </c>
      <c r="H227" s="64"/>
      <c r="I227" s="53"/>
      <c r="J227" s="7" t="s">
        <v>13</v>
      </c>
      <c r="K227" s="130" t="str">
        <f>IF(D195="　","",MID(G227,3,2))</f>
        <v>1</v>
      </c>
      <c r="L227" s="30">
        <f>IFERROR(D200*K227,"")</f>
        <v>10</v>
      </c>
    </row>
    <row r="228" spans="2:12" ht="12" customHeight="1">
      <c r="B228" s="6" t="s">
        <v>9</v>
      </c>
      <c r="C228" s="34" t="str">
        <f>IF(D195="　","","EHD"&amp;IF(MID(D195,4,1)="5",_xlfn.IFS(VALUE(MID(D195,6,2))=3,"5-3",VALUE(MID(D195,6,2))&lt;5,"5-4",VALUE(MID(D195,6,2))&lt;8,"5-7",VALUE(MID(D195,6,2))&gt;7,"5-12"),_xlfn.IFS(VALUE(MID(D195,6,2))=3,"6-3",VALUE(MID(D195,6,2))&lt;5,"6-4",VALUE(MID(D195,6,2))&lt;8,"6-7",VALUE(MID(D195,6,2))&gt;7,"6-12"))&amp;"用、ポリエチレン")</f>
        <v>EHD5-4用、ポリエチレン</v>
      </c>
      <c r="D228" s="35"/>
      <c r="E228" s="35"/>
      <c r="F228" s="36"/>
      <c r="G228" s="52" t="str">
        <f>"N=1"</f>
        <v>N=1</v>
      </c>
      <c r="H228" s="64"/>
      <c r="I228" s="53"/>
      <c r="J228" s="7" t="s">
        <v>13</v>
      </c>
      <c r="K228" s="130" t="str">
        <f>IF(D195="　","",MID(G228,3,2))</f>
        <v>1</v>
      </c>
      <c r="L228" s="30">
        <f>IFERROR(D200*K228,"")</f>
        <v>10</v>
      </c>
    </row>
    <row r="229" spans="2:12" ht="12" customHeight="1">
      <c r="B229" s="6" t="s">
        <v>10</v>
      </c>
      <c r="C229" s="34" t="str">
        <f>IF(D195="　","","PCコート")</f>
        <v>PCコート</v>
      </c>
      <c r="D229" s="35"/>
      <c r="E229" s="35"/>
      <c r="F229" s="36"/>
      <c r="G229" s="149" t="str" cm="1">
        <f t="array" ref="G229">IF(D195="　","","W="&amp;IF(MID(D195,4,1)="5",_xlfn.IFS(VALUE(MID(D195,6,2))&lt;4,2,VALUE(MID(D195,6,2))&lt;5,2,VALUE(MID(D195,6,2))&lt;8,2.7,VALUE(MID(D195,6,2))&gt;7,5),_xlfn.IFS(VALUE(MID(D195,6,2))=1,2,VALUE(MID(D195,6,2))&lt;3,2,VALUE(MID(D195,6,2))&lt;5,2.7,VALUE(MID(D195,6,2))&lt;8,5,VALUE(MID(D195,6,2))&gt;7,12.3)))</f>
        <v>W=2</v>
      </c>
      <c r="H229" s="80"/>
      <c r="I229" s="81"/>
      <c r="J229" s="7" t="s">
        <v>11</v>
      </c>
      <c r="K229" s="132" t="str">
        <f>IF(D195="　","",MID(G229,3,4))</f>
        <v>2</v>
      </c>
      <c r="L229" s="30">
        <f>IFERROR(D200*K229,"")</f>
        <v>20</v>
      </c>
    </row>
    <row r="230" spans="2:12" ht="12" customHeight="1">
      <c r="B230" s="6" t="str">
        <f>IF(D197="なし","",B197)</f>
        <v/>
      </c>
      <c r="C230" s="56" t="str" cm="1">
        <f t="array" ref="C230">IF(D195="　","",IF(D197="なし","",_xlfn.IFS(MID(B197,1,3)="のり面",_xlfn.IFS(VALUE(MID(D195,6,2))&lt;5,"ST170",VALUE(MID(D195,6,2))&lt;8,"ST200",VALUE(MID(D195,6,2))&lt;13,"ST220")&amp;"、FCD450相当",OR(MID(B197,1,3)="構造物",MID(B197,1,3)="土留め"),D195&amp;"用"&amp;IF(OR(MID(B197,1,3)="構造物",D198="　"),"",D198&amp;"/"&amp;E198))&amp;"、防食："&amp;IF(D196="防食Ⅱ","亜鉛めっき処理","ｱﾙﾐﾅｲｽﾞ処理")))</f>
        <v/>
      </c>
      <c r="D230" s="35"/>
      <c r="E230" s="35"/>
      <c r="F230" s="36"/>
      <c r="G230" s="52" t="str">
        <f>IF(D197="なし","","N=1")</f>
        <v/>
      </c>
      <c r="H230" s="64"/>
      <c r="I230" s="53"/>
      <c r="J230" s="7" t="s">
        <v>26</v>
      </c>
      <c r="K230" s="130" t="str">
        <f>IF(D195="　","",MID(G230,3,2))</f>
        <v/>
      </c>
      <c r="L230" s="30" t="str">
        <f>IF(K230="","",D200*K230)</f>
        <v/>
      </c>
    </row>
    <row r="231" spans="2:12" ht="12" customHeight="1">
      <c r="B231" s="6" t="str">
        <f>IF(D199="なし","","フリーパッカー注入ホース")</f>
        <v/>
      </c>
      <c r="C231" s="34" t="str">
        <f>IF(OR(D195="　",B231=""),"","16/20")</f>
        <v/>
      </c>
      <c r="D231" s="35"/>
      <c r="E231" s="35"/>
      <c r="F231" s="36"/>
      <c r="G231" s="56" t="str">
        <f>IF(B231="","","L=自由長+余長")</f>
        <v/>
      </c>
      <c r="H231" s="63"/>
      <c r="I231" s="106"/>
      <c r="J231" s="7" t="s">
        <v>12</v>
      </c>
      <c r="K231" s="30" t="str">
        <f>IF(D195="　","",IF(B231="","",MROUND(D202+D204,0.1)))</f>
        <v/>
      </c>
      <c r="L231" s="30" t="str">
        <f>IF(K231="","",D200*K231)</f>
        <v/>
      </c>
    </row>
    <row r="232" spans="2:12" ht="12" customHeight="1">
      <c r="B232" s="9" t="str">
        <f>IF(D199="なし","","フリーパッカー")</f>
        <v/>
      </c>
      <c r="C232" s="52" t="str" cm="1">
        <f t="array" ref="C232">IF(OR(D195="　",B231=""),"",_xlfn.IFS(D210=90,"PA-170",D210=115,"PA-200",D210&lt;147,"PA-240",D210&gt;147,"PA-350"))</f>
        <v/>
      </c>
      <c r="D232" s="35"/>
      <c r="E232" s="35"/>
      <c r="F232" s="36"/>
      <c r="G232" s="57" t="str">
        <f>IF(B232="","","L=自由長+0.5m")</f>
        <v/>
      </c>
      <c r="H232" s="65"/>
      <c r="I232" s="107"/>
      <c r="J232" s="10" t="s">
        <v>12</v>
      </c>
      <c r="K232" s="30" t="str">
        <f>IF(D195="　","",IF(B232="","",MROUND(K196+0.5,0.1)))</f>
        <v/>
      </c>
      <c r="L232" s="30" t="str">
        <f>IF(K232="","",D200*K232)</f>
        <v/>
      </c>
    </row>
    <row r="233" spans="2:12" ht="12" customHeight="1">
      <c r="B233" s="11" t="str">
        <f>IF(D199="なし","","パッカー取付加工")</f>
        <v/>
      </c>
      <c r="C233" s="42"/>
      <c r="D233" s="37"/>
      <c r="E233" s="37"/>
      <c r="F233" s="38"/>
      <c r="G233" s="131" t="str">
        <f>IF(B233="","","N=1")</f>
        <v/>
      </c>
      <c r="H233" s="66"/>
      <c r="I233" s="54"/>
      <c r="J233" s="12" t="s">
        <v>27</v>
      </c>
      <c r="K233" s="133" t="str">
        <f>IF(D195="　","",MID(G233,3,2))</f>
        <v/>
      </c>
      <c r="L233" s="11" t="str">
        <f>IF(K233="","",D200*K233)</f>
        <v/>
      </c>
    </row>
    <row r="234" spans="2:12" ht="12" customHeight="1">
      <c r="B234" s="14" t="s">
        <v>30</v>
      </c>
      <c r="C234" s="43" t="s">
        <v>31</v>
      </c>
      <c r="D234" s="40"/>
      <c r="E234" s="40"/>
      <c r="F234" s="41"/>
      <c r="G234" s="59" t="s">
        <v>56</v>
      </c>
      <c r="H234" s="67"/>
      <c r="I234" s="108"/>
      <c r="J234" s="2" t="s">
        <v>55</v>
      </c>
      <c r="K234" s="31">
        <f>IFERROR(MROUND(0.25*PI()*(0.001*D210)^2*(D202+D203+D208+D207)*(1+2.2),0.01),"")</f>
        <v>0.36</v>
      </c>
      <c r="L234" s="31">
        <f>IFERROR(D200*K234,"")</f>
        <v>3.5999999999999996</v>
      </c>
    </row>
    <row r="237" spans="2:12" ht="12" customHeight="1">
      <c r="B237" s="251" t="s">
        <v>88</v>
      </c>
      <c r="C237" s="251"/>
      <c r="D237" s="251"/>
    </row>
    <row r="238" spans="2:12" ht="12" customHeight="1">
      <c r="B238" s="15" t="s">
        <v>111</v>
      </c>
      <c r="C238" s="15"/>
      <c r="D238" s="1"/>
      <c r="E238" s="1"/>
      <c r="F238" s="1"/>
      <c r="I238" s="119"/>
      <c r="K238" s="118"/>
    </row>
    <row r="239" spans="2:12" ht="12" customHeight="1">
      <c r="B239" s="111" t="s">
        <v>132</v>
      </c>
      <c r="C239" s="3"/>
      <c r="D239" s="1"/>
      <c r="E239" s="1"/>
      <c r="F239" s="1"/>
      <c r="G239" s="8"/>
      <c r="H239" s="8"/>
      <c r="I239" s="102"/>
      <c r="J239" s="28"/>
      <c r="K239" s="118"/>
    </row>
    <row r="240" spans="2:12" ht="12" customHeight="1">
      <c r="B240" s="15" t="s">
        <v>40</v>
      </c>
      <c r="C240" s="3"/>
      <c r="D240" s="1"/>
      <c r="E240" s="1"/>
      <c r="F240" s="1"/>
      <c r="G240" s="15" t="s">
        <v>54</v>
      </c>
      <c r="H240" s="15"/>
      <c r="I240" s="102"/>
      <c r="J240" s="28"/>
    </row>
    <row r="241" spans="2:12" ht="12" customHeight="1">
      <c r="B241" s="2" t="s">
        <v>53</v>
      </c>
      <c r="C241" s="2" t="s">
        <v>21</v>
      </c>
      <c r="D241" s="2" t="s">
        <v>22</v>
      </c>
      <c r="E241" s="2" t="s">
        <v>84</v>
      </c>
      <c r="F241" s="17"/>
      <c r="G241" s="2" t="s">
        <v>41</v>
      </c>
      <c r="H241" s="97" t="s">
        <v>59</v>
      </c>
      <c r="I241" s="49" t="s">
        <v>44</v>
      </c>
      <c r="J241" s="2" t="s">
        <v>21</v>
      </c>
      <c r="K241" s="49" t="s">
        <v>29</v>
      </c>
      <c r="L241" s="2" t="s">
        <v>28</v>
      </c>
    </row>
    <row r="242" spans="2:12" ht="12" customHeight="1">
      <c r="B242" s="51" t="s">
        <v>37</v>
      </c>
      <c r="C242" s="50" t="s">
        <v>38</v>
      </c>
      <c r="D242" s="70" t="s">
        <v>116</v>
      </c>
      <c r="E242" s="137" t="s">
        <v>71</v>
      </c>
      <c r="F242" s="17"/>
      <c r="G242" s="86" t="str">
        <f>IF(D255=0,"",G243)</f>
        <v/>
      </c>
      <c r="H242" s="87" t="str">
        <f>IF(D255=0,"",H244&amp;" (背面管部）")</f>
        <v/>
      </c>
      <c r="I242" s="88" t="str">
        <f>IF(D255=0,"",D256)</f>
        <v/>
      </c>
      <c r="J242" s="89" t="str">
        <f>IF(D255=0,"","m")</f>
        <v/>
      </c>
      <c r="K242" s="90" t="str">
        <f>IF(D255=0,"",D255)</f>
        <v/>
      </c>
      <c r="L242" s="29" t="str">
        <f>IF(D255=0,"",D247*K242)</f>
        <v/>
      </c>
    </row>
    <row r="243" spans="2:12" ht="12" customHeight="1">
      <c r="B243" s="52" t="s">
        <v>39</v>
      </c>
      <c r="C243" s="91" t="s">
        <v>38</v>
      </c>
      <c r="D243" s="71" t="s">
        <v>60</v>
      </c>
      <c r="E243" s="138"/>
      <c r="F243" s="17"/>
      <c r="G243" s="68" t="s">
        <v>43</v>
      </c>
      <c r="H243" s="68" t="s">
        <v>113</v>
      </c>
      <c r="I243" s="88" t="str" cm="1">
        <f t="array" ref="I243">_xlfn.IFS(AND(G243&lt;&gt;"非削孔",G243&lt;&gt;"無設定"),D257,G243="非削孔",IF(MID(B244,1,3)="土留め","非削孔","箱抜き"),G243="無設定","無設定")</f>
        <v>箱抜き</v>
      </c>
      <c r="J243" s="23" t="str">
        <f>IF(G243="無設定","","m")</f>
        <v>m</v>
      </c>
      <c r="K243" s="69">
        <v>0.5</v>
      </c>
      <c r="L243" s="30">
        <f>D247*K243</f>
        <v>5</v>
      </c>
    </row>
    <row r="244" spans="2:12" ht="12" customHeight="1">
      <c r="B244" s="115" t="s">
        <v>86</v>
      </c>
      <c r="C244" s="91" t="s">
        <v>38</v>
      </c>
      <c r="D244" s="83" t="s">
        <v>51</v>
      </c>
      <c r="E244" s="139" t="str">
        <f>IF(OR(MID(B244,1,3)&lt;&gt;"土留め",D244="なし"),"","腹起し")</f>
        <v/>
      </c>
      <c r="F244" s="140"/>
      <c r="G244" s="68" t="s">
        <v>49</v>
      </c>
      <c r="H244" s="68" t="s">
        <v>114</v>
      </c>
      <c r="I244" s="88" cm="1">
        <f t="array" ref="I244">_xlfn.IFS(AND(G244&lt;&gt;"非削孔",G244&lt;&gt;"無設定"),D257,G244="非削孔","箱抜き",G244="無設定","無設定")</f>
        <v>135</v>
      </c>
      <c r="J244" s="23" t="str">
        <f t="shared" ref="J244:J252" si="6">IF(G244="無設定","","m")</f>
        <v>m</v>
      </c>
      <c r="K244" s="69">
        <v>2.64</v>
      </c>
      <c r="L244" s="30">
        <f>D247*K244</f>
        <v>26.400000000000002</v>
      </c>
    </row>
    <row r="245" spans="2:12" ht="12" customHeight="1">
      <c r="B245" s="114" t="str">
        <f>IF(OR(MID(B244,1,3)&lt;&gt;"土留め",D244="なし"),"",B244&amp;"の種類")</f>
        <v/>
      </c>
      <c r="C245" s="91" t="s">
        <v>38</v>
      </c>
      <c r="D245" s="113" t="s">
        <v>71</v>
      </c>
      <c r="E245" s="122" t="s">
        <v>71</v>
      </c>
      <c r="F245" s="141"/>
      <c r="G245" s="68" t="s">
        <v>49</v>
      </c>
      <c r="H245" s="68" t="s">
        <v>134</v>
      </c>
      <c r="I245" s="88" cm="1">
        <f t="array" ref="I245">_xlfn.IFS(AND(G245&lt;&gt;"非削孔",G245&lt;&gt;"無設定"),D257,G245="非削孔","箱抜き",G245="無設定","無設定")</f>
        <v>135</v>
      </c>
      <c r="J245" s="23" t="str">
        <f t="shared" si="6"/>
        <v>m</v>
      </c>
      <c r="K245" s="69">
        <v>6.36</v>
      </c>
      <c r="L245" s="30">
        <f>D247*K245</f>
        <v>63.6</v>
      </c>
    </row>
    <row r="246" spans="2:12" ht="12" customHeight="1">
      <c r="B246" s="147" t="s">
        <v>50</v>
      </c>
      <c r="C246" s="91" t="s">
        <v>38</v>
      </c>
      <c r="D246" s="83" t="s">
        <v>51</v>
      </c>
      <c r="E246" s="102"/>
      <c r="F246" s="21"/>
      <c r="G246" s="68" t="s">
        <v>49</v>
      </c>
      <c r="H246" s="68" t="s">
        <v>135</v>
      </c>
      <c r="I246" s="88" cm="1">
        <f t="array" ref="I246">_xlfn.IFS(AND(G246&lt;&gt;"非削孔",G246&lt;&gt;"無設定"),D257,G246="非削孔","箱抜き",G246="無設定","無設定")</f>
        <v>135</v>
      </c>
      <c r="J246" s="23" t="str">
        <f t="shared" si="6"/>
        <v>m</v>
      </c>
      <c r="K246" s="69">
        <v>6</v>
      </c>
      <c r="L246" s="30">
        <f>D247*K246</f>
        <v>60</v>
      </c>
    </row>
    <row r="247" spans="2:12" ht="12" customHeight="1">
      <c r="B247" s="157" t="s">
        <v>25</v>
      </c>
      <c r="C247" s="158" t="s">
        <v>24</v>
      </c>
      <c r="D247" s="162">
        <v>10</v>
      </c>
      <c r="E247" s="19"/>
      <c r="F247" s="21"/>
      <c r="G247" s="68" t="s">
        <v>48</v>
      </c>
      <c r="H247" s="68"/>
      <c r="I247" s="88" t="str" cm="1">
        <f t="array" ref="I247">_xlfn.IFS(AND(G247&lt;&gt;"非削孔",G247&lt;&gt;"無設定"),D257,G247="非削孔","箱抜き",G247="無設定","無設定")</f>
        <v>無設定</v>
      </c>
      <c r="J247" s="23" t="str">
        <f t="shared" si="6"/>
        <v/>
      </c>
      <c r="K247" s="69">
        <v>0</v>
      </c>
      <c r="L247" s="30">
        <f>D247*K247</f>
        <v>0</v>
      </c>
    </row>
    <row r="248" spans="2:12" ht="12" customHeight="1">
      <c r="B248" s="160" t="str" cm="1">
        <f t="array" ref="B248">"頭部自由長("&amp;_xlfn.IFS(AND(MID(B244,1,3)="土留め",D244="あり"),"腹起し+台座",AND(MID(B244,1,3)="土留め",D244="なし"),"台座なし",AND(MID(B244,1,3)="構造物",D244="あり"),"壁面台座",AND(MID(B244,1,3)="構造物",D244="なし"),"台座なし",AND(MID(B244,1,3)="のり面",D244="あり"),"角度台座＋受圧体",AND(MID(B244,1,3)="のり面",D244="なし"),"受圧体")&amp;")　"&amp;"Lfh"</f>
        <v>頭部自由長(受圧体)　Lfh</v>
      </c>
      <c r="C248" s="155" t="s">
        <v>23</v>
      </c>
      <c r="D248" s="161">
        <v>0.5</v>
      </c>
      <c r="E248" s="21"/>
      <c r="F248" s="21"/>
      <c r="G248" s="68" t="s">
        <v>48</v>
      </c>
      <c r="H248" s="68"/>
      <c r="I248" s="88" t="str" cm="1">
        <f t="array" ref="I248">_xlfn.IFS(AND(G248&lt;&gt;"非削孔",G248&lt;&gt;"無設定"),D257,G248="非削孔","箱抜き",G248="無設定","無設定")</f>
        <v>無設定</v>
      </c>
      <c r="J248" s="23" t="str">
        <f t="shared" si="6"/>
        <v/>
      </c>
      <c r="K248" s="69">
        <v>0</v>
      </c>
      <c r="L248" s="30">
        <f>D247*K248</f>
        <v>0</v>
      </c>
    </row>
    <row r="249" spans="2:12" ht="12" customHeight="1">
      <c r="B249" s="22" t="s">
        <v>108</v>
      </c>
      <c r="C249" s="23" t="s">
        <v>23</v>
      </c>
      <c r="D249" s="47">
        <v>11</v>
      </c>
      <c r="E249" s="21"/>
      <c r="F249" s="21"/>
      <c r="G249" s="68" t="s">
        <v>48</v>
      </c>
      <c r="H249" s="68"/>
      <c r="I249" s="88" t="str" cm="1">
        <f t="array" ref="I249">_xlfn.IFS(AND(G249&lt;&gt;"非削孔",G249&lt;&gt;"無設定"),#REF!,G249="非削孔","箱抜き",G249="無設定","無設定")</f>
        <v>無設定</v>
      </c>
      <c r="J249" s="23" t="str">
        <f t="shared" si="6"/>
        <v/>
      </c>
      <c r="K249" s="69">
        <v>0</v>
      </c>
      <c r="L249" s="30">
        <f>D247*K249</f>
        <v>0</v>
      </c>
    </row>
    <row r="250" spans="2:12" ht="12" customHeight="1">
      <c r="B250" s="157" t="s">
        <v>36</v>
      </c>
      <c r="C250" s="158" t="s">
        <v>23</v>
      </c>
      <c r="D250" s="159">
        <v>4</v>
      </c>
      <c r="E250" s="21"/>
      <c r="F250" s="21"/>
      <c r="G250" s="68" t="s">
        <v>48</v>
      </c>
      <c r="H250" s="68"/>
      <c r="I250" s="88" t="str" cm="1">
        <f t="array" ref="I250">_xlfn.IFS(AND(G250&lt;&gt;"非削孔",G250&lt;&gt;"無設定"),D257,G250="非削孔","箱抜き",G250="無設定","無設定")</f>
        <v>無設定</v>
      </c>
      <c r="J250" s="23" t="str">
        <f t="shared" si="6"/>
        <v/>
      </c>
      <c r="K250" s="69">
        <v>0</v>
      </c>
      <c r="L250" s="30">
        <f>D247*K250</f>
        <v>0</v>
      </c>
    </row>
    <row r="251" spans="2:12" ht="12" customHeight="1">
      <c r="B251" s="154" t="s">
        <v>69</v>
      </c>
      <c r="C251" s="155" t="s">
        <v>23</v>
      </c>
      <c r="D251" s="156" cm="1">
        <f t="array" ref="D251">IF(D242="　","──",_xlfn.IFS(AND(MID(D242,4,1)="5",1*MID(D242,6,2)&lt;8),1,AND(MID(D242,4,1)="5",1*MID(D242,6,2)&gt;7),1.5,AND(MID(D242,4,1)="6",1*MID(D242,6,2)&lt;6),1,AND(MID(D242,4,1)="6",1*MID(D242,6,2)&gt;5),1.5))</f>
        <v>1</v>
      </c>
      <c r="E251" s="21"/>
      <c r="G251" s="68" t="s">
        <v>48</v>
      </c>
      <c r="H251" s="68"/>
      <c r="I251" s="88" t="str" cm="1">
        <f t="array" ref="I251">_xlfn.IFS(AND(G251&lt;&gt;"非削孔",G251&lt;&gt;"無設定"),D257,G251="非削孔","箱抜き",G251="無設定","無設定")</f>
        <v>無設定</v>
      </c>
      <c r="J251" s="23" t="str">
        <f t="shared" si="6"/>
        <v/>
      </c>
      <c r="K251" s="69">
        <v>0</v>
      </c>
      <c r="L251" s="30">
        <f>D247*K251</f>
        <v>0</v>
      </c>
    </row>
    <row r="252" spans="2:12" ht="12" customHeight="1">
      <c r="B252" s="22" t="s">
        <v>125</v>
      </c>
      <c r="C252" s="23" t="s">
        <v>35</v>
      </c>
      <c r="D252" s="84">
        <f>IF(D242="　","──",0.2)</f>
        <v>0.2</v>
      </c>
      <c r="E252" s="120"/>
      <c r="F252" s="19"/>
      <c r="G252" s="99" t="str" cm="1">
        <f t="array" ref="G252">INDEX(G243:I251,MATCH("無設定",G243:G251,0)-1,MATCH(G241,G241:I241,0))</f>
        <v>軟　岩</v>
      </c>
      <c r="H252" s="100" t="str" cm="1">
        <f t="array" ref="H252">INDEX(G243:I251,MATCH("無設定",G243:G251,0)-1,MATCH(H241,G241:I241,0))&amp;"　(先端長 L2d)"</f>
        <v>風化岩 CL2　(先端長 L2d)</v>
      </c>
      <c r="I252" s="88" cm="1">
        <f t="array" ref="I252">INDEX(G243:I251,MATCH("無設定",G243:G251,0)-1,MATCH(I241,G241:I241,0))</f>
        <v>135</v>
      </c>
      <c r="J252" s="23" t="str">
        <f t="shared" si="6"/>
        <v>m</v>
      </c>
      <c r="K252" s="98">
        <f>D254</f>
        <v>0.25</v>
      </c>
      <c r="L252" s="78">
        <f>IFERROR(D247*K252,"")</f>
        <v>2.5</v>
      </c>
    </row>
    <row r="253" spans="2:12" ht="12" customHeight="1">
      <c r="B253" s="6" t="s">
        <v>126</v>
      </c>
      <c r="C253" s="23" t="s">
        <v>23</v>
      </c>
      <c r="D253" s="60">
        <f>IF(D242="　","──",SUM(D249:D251))</f>
        <v>16</v>
      </c>
      <c r="E253" s="121"/>
      <c r="F253" s="19"/>
      <c r="G253" s="72"/>
      <c r="H253" s="75" t="s">
        <v>124</v>
      </c>
      <c r="I253" s="103"/>
      <c r="J253" s="18" t="s">
        <v>23</v>
      </c>
      <c r="K253" s="74">
        <f>SUMIFS(K242:K252,G242:G252,"&lt;&gt;非削孔",G242:G252,"&lt;&gt;無設定")</f>
        <v>15.25</v>
      </c>
      <c r="L253" s="95">
        <f>SUMIFS(L242:L252,G242:G252,"&lt;&gt;非削孔",G242:G252,"&lt;&gt;無設定")</f>
        <v>152.5</v>
      </c>
    </row>
    <row r="254" spans="2:12" ht="12" customHeight="1">
      <c r="B254" s="25" t="s">
        <v>127</v>
      </c>
      <c r="C254" s="26" t="s">
        <v>23</v>
      </c>
      <c r="D254" s="27">
        <f>IF(D242="　","──",$N$1)</f>
        <v>0.25</v>
      </c>
      <c r="E254" s="121"/>
      <c r="F254" s="19"/>
      <c r="G254" s="73"/>
      <c r="H254" s="76" t="s">
        <v>47</v>
      </c>
      <c r="I254" s="104"/>
      <c r="J254" s="79" t="s">
        <v>46</v>
      </c>
      <c r="K254" s="77" t="str">
        <f>IF(D242="　","",IF(SUM(D248:D250,D255,D254)=K253+SUMIFS(K242:K252,G242:G252,"=非削孔"),"OK","NG"))</f>
        <v>OK</v>
      </c>
      <c r="L254" s="145" t="str">
        <f>IF(K254&lt;&gt;"NG","──",K253+SUMIFS(K242:K252,G242:G252,"=非削孔")-SUM(D248:D250,D255,D254))</f>
        <v>──</v>
      </c>
    </row>
    <row r="255" spans="2:12" ht="12" customHeight="1">
      <c r="B255" s="22" t="s">
        <v>73</v>
      </c>
      <c r="C255" s="23" t="s">
        <v>35</v>
      </c>
      <c r="D255" s="85">
        <v>0</v>
      </c>
      <c r="E255" s="123"/>
      <c r="F255" s="19"/>
      <c r="G255" s="94" t="s">
        <v>58</v>
      </c>
      <c r="H255" s="252" t="s">
        <v>110</v>
      </c>
      <c r="I255" s="253"/>
      <c r="J255" s="253"/>
      <c r="K255" s="253"/>
      <c r="L255" s="254"/>
    </row>
    <row r="256" spans="2:12" ht="12" customHeight="1">
      <c r="B256" s="22" t="str">
        <f>IF(D242="　","",IF(D255=0,"","頭部背面管削孔径　Dh"))</f>
        <v/>
      </c>
      <c r="C256" s="23" t="str">
        <f>IF(D242="　","",IF(D255=0,"","mm"))</f>
        <v/>
      </c>
      <c r="D256" s="93" t="str" cm="1">
        <f t="array" ref="D256">IF(D242="　","",IF(D255=0,"",IF(MID(D242,4,1)="5",_xlfn.IFS(VALUE(MID(D242,6,2))&lt;7,115,VALUE(MID(D242,6,2))&gt;6,135),"未設定")))</f>
        <v/>
      </c>
      <c r="E256" s="121"/>
      <c r="F256" s="1"/>
      <c r="G256" s="8"/>
      <c r="H256" s="8"/>
      <c r="I256" s="102"/>
    </row>
    <row r="257" spans="2:12" ht="12" customHeight="1">
      <c r="B257" s="95" t="s">
        <v>123</v>
      </c>
      <c r="C257" s="18" t="s">
        <v>32</v>
      </c>
      <c r="D257" s="153">
        <v>135</v>
      </c>
      <c r="E257" s="151"/>
      <c r="F257" s="1"/>
      <c r="G257" s="8"/>
      <c r="H257" s="8"/>
      <c r="I257" s="102"/>
    </row>
    <row r="258" spans="2:12" ht="12" customHeight="1">
      <c r="B258" s="25" t="s">
        <v>122</v>
      </c>
      <c r="C258" s="26" t="s">
        <v>32</v>
      </c>
      <c r="D258" s="152" cm="1">
        <f t="array" ref="D258">IF(D242="　","──",IF(D246="なし",IF(MID(D242,4,1)="5",_xlfn.IFS(VALUE(MID(D242,6,2))&lt;6,90,VALUE(MID(D242,6,2))&lt;9,115,VALUE(MID(D242,6,2))&gt;8,135),_xlfn.IFS(VALUE(MID(D242,6,2))&lt;4,90,VALUE(MID(D242,6,2))&lt;10,135,VALUE(MID(D242,6,2))&gt;9,146)),IF(MID(D242,4,1)="5",_xlfn.IFS(VALUE(MID(D242,6,2))&lt;3,90,VALUE(MID(D242,6,2))&lt;7,115,VALUE(MID(D242,6,2))&lt;10,135,VALUE(MID(D242,6,2))&gt;9,146),_xlfn.IFS(VALUE(MID(D242,6,2))&lt;3,90,VALUE(MID(D242,6,2))&lt;4,115,VALUE(MID(D242,6,2))&lt;6,135,VALUE(MID(D242,6,2))&lt;10,146,VALUE(MID(D242,6,2))&gt;9,165))))</f>
        <v>90</v>
      </c>
      <c r="E258" s="117"/>
      <c r="F258" s="1"/>
      <c r="G258" s="8"/>
      <c r="H258" s="8"/>
      <c r="I258" s="102"/>
    </row>
    <row r="259" spans="2:12" ht="12" customHeight="1">
      <c r="E259" s="117"/>
      <c r="F259" s="1"/>
      <c r="G259" s="8"/>
      <c r="H259" s="8"/>
      <c r="I259" s="102"/>
    </row>
    <row r="260" spans="2:12" ht="12" customHeight="1">
      <c r="B260" s="15" t="str">
        <f>"■"&amp;MID(B237,2,13)</f>
        <v>■長期：EHDアンカー数量表</v>
      </c>
      <c r="C260" s="3"/>
      <c r="D260" s="1"/>
      <c r="E260" s="1"/>
      <c r="F260" s="1"/>
      <c r="G260" s="8"/>
      <c r="H260" s="8"/>
      <c r="I260" s="102"/>
    </row>
    <row r="261" spans="2:12" ht="12" customHeight="1">
      <c r="B261" s="2" t="s">
        <v>17</v>
      </c>
      <c r="C261" s="43"/>
      <c r="D261" s="134"/>
      <c r="E261" s="61" t="s">
        <v>78</v>
      </c>
      <c r="F261" s="135"/>
      <c r="G261" s="16"/>
      <c r="H261" s="61" t="s">
        <v>42</v>
      </c>
      <c r="I261" s="97"/>
      <c r="J261" s="2" t="s">
        <v>21</v>
      </c>
      <c r="K261" s="49" t="s">
        <v>29</v>
      </c>
      <c r="L261" s="2" t="s">
        <v>28</v>
      </c>
    </row>
    <row r="262" spans="2:12" ht="12" customHeight="1">
      <c r="B262" s="4" t="s">
        <v>19</v>
      </c>
      <c r="C262" s="39" t="str">
        <f>IF(D242="　","",D242&amp;" ("&amp;MID(D242,6,2)&amp;IF(MID(D242,4,1)="5","φ12.7","φ15.2")&amp;")")</f>
        <v>EHD5-2 (2φ12.7)</v>
      </c>
      <c r="D262" s="32"/>
      <c r="E262" s="32"/>
      <c r="F262" s="33"/>
      <c r="G262" s="55" t="str">
        <f>"W=(テンドン長+先端長0.2m)×鋼線本数×"&amp;IF(MID(D242,4,1)="5","0.774","1.101")&amp;"kg/m"</f>
        <v>W=(テンドン長+先端長0.2m)×鋼線本数×0.774kg/m</v>
      </c>
      <c r="H262" s="62"/>
      <c r="I262" s="105"/>
      <c r="J262" s="5" t="s">
        <v>11</v>
      </c>
      <c r="K262" s="29">
        <f>IF(D242="　","",MROUND((D253+D252)*MID(D242,6,2)*IF(MID(D242,4,1)="5","0.774","1.101"),0.01))</f>
        <v>25.080000000000002</v>
      </c>
      <c r="L262" s="29">
        <f>IFERROR(D247*K262,"")</f>
        <v>250.8</v>
      </c>
    </row>
    <row r="263" spans="2:12" ht="12" customHeight="1">
      <c r="B263" s="6" t="s">
        <v>20</v>
      </c>
      <c r="C263" s="34"/>
      <c r="D263" s="35"/>
      <c r="E263" s="35"/>
      <c r="F263" s="36"/>
      <c r="G263" s="56" t="s">
        <v>33</v>
      </c>
      <c r="H263" s="63"/>
      <c r="I263" s="106"/>
      <c r="J263" s="7" t="s">
        <v>12</v>
      </c>
      <c r="K263" s="30">
        <f>IF(D242="　","",MROUND(D253,0.1))</f>
        <v>16</v>
      </c>
      <c r="L263" s="30">
        <f>IFERROR(D247*K263,"")</f>
        <v>160</v>
      </c>
    </row>
    <row r="264" spans="2:12" ht="12" customHeight="1">
      <c r="B264" s="6" t="s">
        <v>0</v>
      </c>
      <c r="C264" s="34" t="str">
        <f>IF(D242="　","","16/20")</f>
        <v>16/20</v>
      </c>
      <c r="D264" s="35"/>
      <c r="E264" s="35"/>
      <c r="F264" s="36"/>
      <c r="G264" s="56" t="s">
        <v>33</v>
      </c>
      <c r="H264" s="63"/>
      <c r="I264" s="106"/>
      <c r="J264" s="7" t="s">
        <v>12</v>
      </c>
      <c r="K264" s="30">
        <f>IF(D242="　","",MROUND(D253,0.1))</f>
        <v>16</v>
      </c>
      <c r="L264" s="30">
        <f>IFERROR(D247*K264,"")</f>
        <v>160</v>
      </c>
    </row>
    <row r="265" spans="2:12" ht="12" customHeight="1">
      <c r="B265" s="6" t="s">
        <v>1</v>
      </c>
      <c r="C265" s="34" t="str" cm="1">
        <f t="array" ref="C265">IF(D242="　","",IF(MID(D242,4,1)="5",_xlfn.IFS(VALUE(MID(D242,6,2))&lt;5,"5-4",VALUE(MID(D242,6,2))&lt;8,"5-7",VALUE(MID(D242,6,2))&lt;10,"5-9",VALUE(MID(D242,6,2))&gt;9,"5-12"),_xlfn.IFS(VALUE(MID(D242,6,2))&lt;8,"6-7",VALUE(MID(D242,6,2))&lt;13,"6-12",VALUE(MID(D242,6,2))&gt;12,"6-19"))&amp;"用、ポリプロピレン")</f>
        <v>5-4用、ポリプロピレン</v>
      </c>
      <c r="D265" s="35"/>
      <c r="E265" s="35"/>
      <c r="F265" s="36"/>
      <c r="G265" s="52" t="str">
        <f>"N=1"</f>
        <v>N=1</v>
      </c>
      <c r="H265" s="64"/>
      <c r="I265" s="53"/>
      <c r="J265" s="7" t="s">
        <v>13</v>
      </c>
      <c r="K265" s="130" t="str">
        <f>IF(D242="　","",MID(G265,3,2))</f>
        <v>1</v>
      </c>
      <c r="L265" s="30">
        <f>IFERROR(D247*K265,"")</f>
        <v>10</v>
      </c>
    </row>
    <row r="266" spans="2:12" ht="12" customHeight="1">
      <c r="B266" s="6" t="s">
        <v>2</v>
      </c>
      <c r="C266" s="34" t="str" cm="1">
        <f t="array" ref="C266">IF(D242="　","",IF(MID(D242,4,1)="5",_xlfn.IFS(VALUE(MID(D242,6,2))&lt;6,"5-5",VALUE(MID(D242,6,2))&lt;9,"5-8",VALUE(MID(D242,6,2))&gt;8,"5-12"),_xlfn.IFS(VALUE(MID(D242,6,2))&lt;13,"6-12",VALUE(MID(D242,6,2))&lt;17,"6-16",VALUE(MID(D242,6,2))&gt;16,"6-20"))&amp;"用、ポリプロピレン")</f>
        <v>5-5用、ポリプロピレン</v>
      </c>
      <c r="D266" s="35"/>
      <c r="E266" s="35"/>
      <c r="F266" s="36"/>
      <c r="G266" s="127" t="s">
        <v>120</v>
      </c>
      <c r="H266" s="63"/>
      <c r="I266" s="106"/>
      <c r="J266" s="7" t="s">
        <v>13</v>
      </c>
      <c r="K266" s="6">
        <f>IF(D242="　","",MROUND((D250-0.5)/1,1))</f>
        <v>4</v>
      </c>
      <c r="L266" s="30">
        <f>IFERROR(D247*K266,"")</f>
        <v>40</v>
      </c>
    </row>
    <row r="267" spans="2:12" ht="12" customHeight="1">
      <c r="B267" s="6" t="s">
        <v>3</v>
      </c>
      <c r="C267" s="34" t="str">
        <f>IF(D242="　","","AB350")</f>
        <v>AB350</v>
      </c>
      <c r="D267" s="35"/>
      <c r="E267" s="35"/>
      <c r="F267" s="36"/>
      <c r="G267" s="127" t="s">
        <v>34</v>
      </c>
      <c r="H267" s="63"/>
      <c r="I267" s="106"/>
      <c r="J267" s="7" t="s">
        <v>14</v>
      </c>
      <c r="K267" s="6">
        <f>IF(D242="　","",2*K266)</f>
        <v>8</v>
      </c>
      <c r="L267" s="30">
        <f>IFERROR(D247*K267,"")</f>
        <v>80</v>
      </c>
    </row>
    <row r="268" spans="2:12" ht="12" customHeight="1">
      <c r="B268" s="6" t="s">
        <v>4</v>
      </c>
      <c r="C268" s="34"/>
      <c r="D268" s="35"/>
      <c r="E268" s="35"/>
      <c r="F268" s="36"/>
      <c r="G268" s="127" t="str">
        <f>IF(D242="　","","L=((自由長+緊張余長)÷@1.0m)×ﾃﾝﾄﾞﾝ係数"&amp;IF(MID(D242,4,1)="5",_xlfn.IFS(VALUE(MID(D242,6,2))=1,"0.6",VALUE(MID(D242,6,2))&lt;5,"1.0",VALUE(MID(D242,6,2))&lt;8,"1.1",VALUE(MID(D242,6,2))&gt;7,"1.2"),_xlfn.IFS(VALUE(MID(D242,6,2))=1,"0.7",VALUE(MID(D242,6,2))&lt;5,"1.1",VALUE(MID(D242,6,2))&lt;8,"1.2",VALUE(MID(D242,6,2))&gt;7,"1.3")))</f>
        <v>L=((自由長+緊張余長)÷@1.0m)×ﾃﾝﾄﾞﾝ係数1.0</v>
      </c>
      <c r="H268" s="63"/>
      <c r="I268" s="106"/>
      <c r="J268" s="7" t="s">
        <v>12</v>
      </c>
      <c r="K268" s="136">
        <f>IF(D242="　","",MROUND((SUM(D249,D248:D251))/1*RIGHT(G268, 3),0.1))</f>
        <v>27.5</v>
      </c>
      <c r="L268" s="30">
        <f>IFERROR(D247*K268,"")</f>
        <v>275</v>
      </c>
    </row>
    <row r="269" spans="2:12" ht="12" customHeight="1">
      <c r="B269" s="6" t="str">
        <f>"ヘッドキャップ"&amp;IF(LEFT(E242,2)="窓付"," (目視型)","")</f>
        <v>ヘッドキャップ</v>
      </c>
      <c r="C269" s="34" t="str" cm="1">
        <f t="array" ref="C269">IF(D242="　","",IF(MID(D242,4,1)="5",_xlfn.IFS(VALUE(MID(D242,6,2))&lt;5,"5-4",VALUE(MID(D242,6,2))&lt;8,"5-7",VALUE(MID(D242,6,2))&gt;7,"5-12"),"未設定")&amp;"用RN型、AC4C相当"&amp;IF(D243="防食Ⅱ","","、防食：タケコート処理"))</f>
        <v>5-4用RN型、AC4C相当</v>
      </c>
      <c r="D269" s="44"/>
      <c r="E269" s="44"/>
      <c r="F269" s="45"/>
      <c r="G269" s="52" t="str">
        <f>"N=1"</f>
        <v>N=1</v>
      </c>
      <c r="H269" s="64"/>
      <c r="I269" s="53"/>
      <c r="J269" s="7" t="s">
        <v>13</v>
      </c>
      <c r="K269" s="130" t="str">
        <f>IF(D242="　","",MID(G269,3,2))</f>
        <v>1</v>
      </c>
      <c r="L269" s="30">
        <f>IFERROR(D247*K269,"")</f>
        <v>10</v>
      </c>
    </row>
    <row r="270" spans="2:12" ht="12" customHeight="1">
      <c r="B270" s="6" t="s">
        <v>5</v>
      </c>
      <c r="C270" s="34" t="str" cm="1">
        <f t="array" ref="C270">IF(D242="　","",IF(MID(D242,4,1)="5",_xlfn.IFS(VALUE(MID(D242,6,2))&lt;3,"5-2",VALUE(MID(D242,6,2))&lt;4,"5-3",VALUE(MID(D242,6,2))&lt;5,"5-4",VALUE(MID(D242,6,2))&lt;8,"5-7",VALUE(MID(D242,6,2))&lt;10,"5-9",VALUE(MID(D242,6,2))&gt;9,"5-12"),_xlfn.IFS(VALUE(MID(D242,6,2))&lt;8,"6-7",VALUE(MID(D242,6,2))&gt;7,"6-12"))&amp;"用、S45C相当")</f>
        <v>5-2用、S45C相当</v>
      </c>
      <c r="D270" s="35"/>
      <c r="E270" s="35"/>
      <c r="F270" s="36"/>
      <c r="G270" s="52" t="str">
        <f>"N=1"</f>
        <v>N=1</v>
      </c>
      <c r="H270" s="64"/>
      <c r="I270" s="53"/>
      <c r="J270" s="7" t="s">
        <v>13</v>
      </c>
      <c r="K270" s="130" t="str">
        <f>IF(D242="　","",MID(G270,3,2))</f>
        <v>1</v>
      </c>
      <c r="L270" s="30">
        <f>IFERROR(D247*K270,"")</f>
        <v>10</v>
      </c>
    </row>
    <row r="271" spans="2:12" ht="12" customHeight="1">
      <c r="B271" s="6" t="s">
        <v>6</v>
      </c>
      <c r="C271" s="34" t="str" cm="1">
        <f t="array" ref="C271">IF(D242="　","",IF(MID(D242,4,1)="5",_xlfn.IFS(VALUE(MID(D242,6,2))&lt;3,"5-2",VALUE(MID(D242,6,2))&lt;4,"5-3",VALUE(MID(D242,6,2))&lt;5,"5-4",VALUE(MID(D242,6,2))&lt;8,"5-7",VALUE(MID(D242,6,2))&lt;10,"5-9",VALUE(MID(D242,6,2))&gt;9,"5-12"),_xlfn.IFS(VALUE(MID(D242,6,2))&lt;8,"6-7",VALUE(MID(D242,6,2))&gt;7,"6-12"))&amp;"用、S45C相当")</f>
        <v>5-2用、S45C相当</v>
      </c>
      <c r="D271" s="35"/>
      <c r="E271" s="35"/>
      <c r="F271" s="36"/>
      <c r="G271" s="52" t="str">
        <f>"N=1"</f>
        <v>N=1</v>
      </c>
      <c r="H271" s="64"/>
      <c r="I271" s="53"/>
      <c r="J271" s="7" t="s">
        <v>13</v>
      </c>
      <c r="K271" s="130" t="str">
        <f>IF(D242="　","",MID(G271,3,2))</f>
        <v>1</v>
      </c>
      <c r="L271" s="30">
        <f>IFERROR(D247*K271,"")</f>
        <v>10</v>
      </c>
    </row>
    <row r="272" spans="2:12" ht="12" customHeight="1">
      <c r="B272" s="6" t="s">
        <v>7</v>
      </c>
      <c r="C272" s="34" t="str">
        <f>IF(D242="　","",D242&amp;"用、SCM415相当")</f>
        <v>EHD5-2用、SCM415相当</v>
      </c>
      <c r="D272" s="35"/>
      <c r="E272" s="35"/>
      <c r="F272" s="36"/>
      <c r="G272" s="52" t="str">
        <f>IF(D242="　","","N="&amp;VALUE(MID(D242,6,2)))</f>
        <v>N=2</v>
      </c>
      <c r="H272" s="64"/>
      <c r="I272" s="53"/>
      <c r="J272" s="7" t="s">
        <v>15</v>
      </c>
      <c r="K272" s="130" t="str">
        <f>IF(D242="　","",MID(G272,3,2))</f>
        <v>2</v>
      </c>
      <c r="L272" s="30">
        <f>IFERROR(D247*K272,"")</f>
        <v>20</v>
      </c>
    </row>
    <row r="273" spans="2:12" ht="12" customHeight="1">
      <c r="B273" s="6" t="s">
        <v>18</v>
      </c>
      <c r="C273" s="96" t="str" cm="1">
        <f t="array" ref="C273">IF(D242="　","",IF(MID(D242,4,1)="5",_xlfn.IFS(VALUE(MID(D242,6,2))&lt;3,"5-2",VALUE(MID(D242,6,2))&lt;4,"5-3",VALUE(MID(D242,6,2))&lt;5,"5-4",VALUE(MID(D242,6,2))&lt;8,"5-7",VALUE(MID(D242,6,2))&lt;10,"5-9",VALUE(MID(D242,6,2))&gt;9,"5-12"),_xlfn.IFS(VALUE(MID(D242,6,2))&lt;4,"6-3",VALUE(MID(D242,6,2))&lt;8,"6-7",VALUE(MID(D242,6,2))&gt;7,"6-12"))&amp;"用、SS400・STKM13A相当、防食："&amp;IF(D243="防食Ⅱ","亜鉛めっき処理","ｱﾙﾐﾅｲｽﾞ処理"))</f>
        <v>5-2用、SS400・STKM13A相当、防食：亜鉛めっき処理</v>
      </c>
      <c r="D273" s="35"/>
      <c r="E273" s="35"/>
      <c r="F273" s="36"/>
      <c r="G273" s="52" t="str">
        <f>"N=1"</f>
        <v>N=1</v>
      </c>
      <c r="H273" s="64"/>
      <c r="I273" s="53"/>
      <c r="J273" s="7" t="s">
        <v>16</v>
      </c>
      <c r="K273" s="130" t="str">
        <f>IF(D242="　","",MID(G273,3,2))</f>
        <v>1</v>
      </c>
      <c r="L273" s="30">
        <f>IFERROR(D247*K273,"")</f>
        <v>10</v>
      </c>
    </row>
    <row r="274" spans="2:12" ht="12" customHeight="1">
      <c r="B274" s="6" t="s">
        <v>8</v>
      </c>
      <c r="C274" s="34" t="str">
        <f>IF(D242="　","",D242&amp;"用、NBR45相当")</f>
        <v>EHD5-2用、NBR45相当</v>
      </c>
      <c r="D274" s="35"/>
      <c r="E274" s="35"/>
      <c r="F274" s="36"/>
      <c r="G274" s="52" t="str">
        <f>"N=1"</f>
        <v>N=1</v>
      </c>
      <c r="H274" s="64"/>
      <c r="I274" s="53"/>
      <c r="J274" s="7" t="s">
        <v>13</v>
      </c>
      <c r="K274" s="130" t="str">
        <f>IF(D242="　","",MID(G274,3,2))</f>
        <v>1</v>
      </c>
      <c r="L274" s="30">
        <f>IFERROR(D247*K274,"")</f>
        <v>10</v>
      </c>
    </row>
    <row r="275" spans="2:12" ht="12" customHeight="1">
      <c r="B275" s="6" t="s">
        <v>9</v>
      </c>
      <c r="C275" s="34" t="str">
        <f>IF(D242="　","","EHD"&amp;IF(MID(D242,4,1)="5",_xlfn.IFS(VALUE(MID(D242,6,2))=3,"5-3",VALUE(MID(D242,6,2))&lt;5,"5-4",VALUE(MID(D242,6,2))&lt;8,"5-7",VALUE(MID(D242,6,2))&gt;7,"5-12"),_xlfn.IFS(VALUE(MID(D242,6,2))=3,"6-3",VALUE(MID(D242,6,2))&lt;5,"6-4",VALUE(MID(D242,6,2))&lt;8,"6-7",VALUE(MID(D242,6,2))&gt;7,"6-12"))&amp;"用、ポリエチレン")</f>
        <v>EHD5-4用、ポリエチレン</v>
      </c>
      <c r="D275" s="35"/>
      <c r="E275" s="35"/>
      <c r="F275" s="36"/>
      <c r="G275" s="52" t="str">
        <f>"N=1"</f>
        <v>N=1</v>
      </c>
      <c r="H275" s="64"/>
      <c r="I275" s="53"/>
      <c r="J275" s="7" t="s">
        <v>13</v>
      </c>
      <c r="K275" s="130" t="str">
        <f>IF(D242="　","",MID(G275,3,2))</f>
        <v>1</v>
      </c>
      <c r="L275" s="30">
        <f>IFERROR(D247*K275,"")</f>
        <v>10</v>
      </c>
    </row>
    <row r="276" spans="2:12" ht="12" customHeight="1">
      <c r="B276" s="6" t="s">
        <v>10</v>
      </c>
      <c r="C276" s="34" t="str">
        <f>IF(D242="　","","PCコート")</f>
        <v>PCコート</v>
      </c>
      <c r="D276" s="35"/>
      <c r="E276" s="35"/>
      <c r="F276" s="36"/>
      <c r="G276" s="149" t="str" cm="1">
        <f t="array" ref="G276">IF(D242="　","","W="&amp;IF(MID(D242,4,1)="5",_xlfn.IFS(VALUE(MID(D242,6,2))&lt;4,2,VALUE(MID(D242,6,2))&lt;5,2,VALUE(MID(D242,6,2))&lt;8,2.7,VALUE(MID(D242,6,2))&gt;7,5),_xlfn.IFS(VALUE(MID(D242,6,2))=1,2,VALUE(MID(D242,6,2))&lt;3,2,VALUE(MID(D242,6,2))&lt;5,2.7,VALUE(MID(D242,6,2))&lt;8,5,VALUE(MID(D242,6,2))&gt;7,12.3)))</f>
        <v>W=2</v>
      </c>
      <c r="H276" s="80"/>
      <c r="I276" s="81"/>
      <c r="J276" s="7" t="s">
        <v>11</v>
      </c>
      <c r="K276" s="132" t="str">
        <f>IF(D242="　","",MID(G276,3,4))</f>
        <v>2</v>
      </c>
      <c r="L276" s="30">
        <f>IFERROR(D247*K276,"")</f>
        <v>20</v>
      </c>
    </row>
    <row r="277" spans="2:12" ht="12" customHeight="1">
      <c r="B277" s="6" t="str">
        <f>IF(D244="なし","",B244)</f>
        <v/>
      </c>
      <c r="C277" s="56" t="str" cm="1">
        <f t="array" ref="C277">IF(D242="　","",IF(D244="なし","",_xlfn.IFS(MID(B244,1,3)="のり面",_xlfn.IFS(VALUE(MID(D242,6,2))&lt;5,"ST170",VALUE(MID(D242,6,2))&lt;8,"ST200",VALUE(MID(D242,6,2))&lt;13,"ST220")&amp;"、FCD450相当",OR(MID(B244,1,3)="構造物",MID(B244,1,3)="土留め"),D242&amp;"用"&amp;IF(OR(MID(B244,1,3)="構造物",D245="　"),"",D245&amp;"/"&amp;E245))&amp;"、防食："&amp;IF(D243="防食Ⅱ","亜鉛めっき処理","ｱﾙﾐﾅｲｽﾞ処理")))</f>
        <v/>
      </c>
      <c r="D277" s="35"/>
      <c r="E277" s="35"/>
      <c r="F277" s="36"/>
      <c r="G277" s="52" t="str">
        <f>IF(D244="なし","","N=1")</f>
        <v/>
      </c>
      <c r="H277" s="64"/>
      <c r="I277" s="53"/>
      <c r="J277" s="7" t="s">
        <v>26</v>
      </c>
      <c r="K277" s="130" t="str">
        <f>IF(D242="　","",MID(G277,3,2))</f>
        <v/>
      </c>
      <c r="L277" s="30" t="str">
        <f>IF(K277="","",D247*K277)</f>
        <v/>
      </c>
    </row>
    <row r="278" spans="2:12" ht="12" customHeight="1">
      <c r="B278" s="6" t="str">
        <f>IF(D246="なし","","フリーパッカー注入ホース")</f>
        <v/>
      </c>
      <c r="C278" s="34" t="str">
        <f>IF(OR(D242="　",B278=""),"","16/20")</f>
        <v/>
      </c>
      <c r="D278" s="35"/>
      <c r="E278" s="35"/>
      <c r="F278" s="36"/>
      <c r="G278" s="56" t="str">
        <f>IF(B278="","","L=自由長+余長")</f>
        <v/>
      </c>
      <c r="H278" s="63"/>
      <c r="I278" s="106"/>
      <c r="J278" s="7" t="s">
        <v>12</v>
      </c>
      <c r="K278" s="30" t="str">
        <f>IF(D242="　","",IF(B278="","",MROUND(D249+D251,0.1)))</f>
        <v/>
      </c>
      <c r="L278" s="30" t="str">
        <f>IF(K278="","",D247*K278)</f>
        <v/>
      </c>
    </row>
    <row r="279" spans="2:12" ht="12" customHeight="1">
      <c r="B279" s="9" t="str">
        <f>IF(D246="なし","","フリーパッカー")</f>
        <v/>
      </c>
      <c r="C279" s="52" t="str" cm="1">
        <f t="array" ref="C279">IF(OR(D242="　",B278=""),"",_xlfn.IFS(D257=90,"PA-170",D257=115,"PA-200",D257&lt;147,"PA-240",D257&gt;147,"PA-350"))</f>
        <v/>
      </c>
      <c r="D279" s="35"/>
      <c r="E279" s="35"/>
      <c r="F279" s="36"/>
      <c r="G279" s="57" t="str">
        <f>IF(B279="","","L=自由長+0.5m")</f>
        <v/>
      </c>
      <c r="H279" s="65"/>
      <c r="I279" s="107"/>
      <c r="J279" s="10" t="s">
        <v>12</v>
      </c>
      <c r="K279" s="30" t="str">
        <f>IF(D242="　","",IF(B279="","",MROUND(K243+0.5,0.1)))</f>
        <v/>
      </c>
      <c r="L279" s="30" t="str">
        <f>IF(K279="","",D247*K279)</f>
        <v/>
      </c>
    </row>
    <row r="280" spans="2:12" ht="12" customHeight="1">
      <c r="B280" s="11" t="str">
        <f>IF(D246="なし","","パッカー取付加工")</f>
        <v/>
      </c>
      <c r="C280" s="42"/>
      <c r="D280" s="37"/>
      <c r="E280" s="37"/>
      <c r="F280" s="38"/>
      <c r="G280" s="131" t="str">
        <f>IF(B280="","","N=1")</f>
        <v/>
      </c>
      <c r="H280" s="66"/>
      <c r="I280" s="54"/>
      <c r="J280" s="12" t="s">
        <v>27</v>
      </c>
      <c r="K280" s="133" t="str">
        <f>IF(D242="　","",MID(G280,3,2))</f>
        <v/>
      </c>
      <c r="L280" s="11" t="str">
        <f>IF(K280="","",D247*K280)</f>
        <v/>
      </c>
    </row>
    <row r="281" spans="2:12" ht="12" customHeight="1">
      <c r="B281" s="14" t="s">
        <v>30</v>
      </c>
      <c r="C281" s="43" t="s">
        <v>31</v>
      </c>
      <c r="D281" s="40"/>
      <c r="E281" s="40"/>
      <c r="F281" s="41"/>
      <c r="G281" s="59" t="s">
        <v>56</v>
      </c>
      <c r="H281" s="67"/>
      <c r="I281" s="108"/>
      <c r="J281" s="2" t="s">
        <v>55</v>
      </c>
      <c r="K281" s="31">
        <f>IFERROR(MROUND(0.25*PI()*(0.001*D257)^2*(D249+D250+D255+D254)*(1+2.2),0.01),"")</f>
        <v>0.70000000000000007</v>
      </c>
      <c r="L281" s="31">
        <f>IFERROR(D247*K281,"")</f>
        <v>7.0000000000000009</v>
      </c>
    </row>
  </sheetData>
  <mergeCells count="12">
    <mergeCell ref="B2:D2"/>
    <mergeCell ref="B49:D49"/>
    <mergeCell ref="H255:L255"/>
    <mergeCell ref="H20:L20"/>
    <mergeCell ref="H67:L67"/>
    <mergeCell ref="B96:D96"/>
    <mergeCell ref="H114:L114"/>
    <mergeCell ref="B143:D143"/>
    <mergeCell ref="H161:L161"/>
    <mergeCell ref="B190:D190"/>
    <mergeCell ref="H208:L208"/>
    <mergeCell ref="B237:D237"/>
  </mergeCells>
  <phoneticPr fontId="1"/>
  <conditionalFormatting sqref="K19">
    <cfRule type="cellIs" dxfId="65" priority="36" operator="equal">
      <formula>"NG"</formula>
    </cfRule>
    <cfRule type="cellIs" dxfId="64" priority="37" operator="equal">
      <formula>"OK"</formula>
    </cfRule>
  </conditionalFormatting>
  <conditionalFormatting sqref="K66">
    <cfRule type="cellIs" dxfId="63" priority="14" operator="equal">
      <formula>"NG"</formula>
    </cfRule>
    <cfRule type="cellIs" dxfId="62" priority="15" operator="equal">
      <formula>"OK"</formula>
    </cfRule>
  </conditionalFormatting>
  <conditionalFormatting sqref="K113">
    <cfRule type="cellIs" dxfId="61" priority="11" operator="equal">
      <formula>"NG"</formula>
    </cfRule>
    <cfRule type="cellIs" dxfId="60" priority="12" operator="equal">
      <formula>"OK"</formula>
    </cfRule>
  </conditionalFormatting>
  <conditionalFormatting sqref="K160">
    <cfRule type="cellIs" dxfId="59" priority="8" operator="equal">
      <formula>"NG"</formula>
    </cfRule>
    <cfRule type="cellIs" dxfId="58" priority="9" operator="equal">
      <formula>"OK"</formula>
    </cfRule>
  </conditionalFormatting>
  <conditionalFormatting sqref="K207">
    <cfRule type="cellIs" dxfId="57" priority="5" operator="equal">
      <formula>"NG"</formula>
    </cfRule>
    <cfRule type="cellIs" dxfId="56" priority="6" operator="equal">
      <formula>"OK"</formula>
    </cfRule>
  </conditionalFormatting>
  <conditionalFormatting sqref="K254">
    <cfRule type="cellIs" dxfId="55" priority="2" operator="equal">
      <formula>"NG"</formula>
    </cfRule>
    <cfRule type="cellIs" dxfId="54" priority="3" operator="equal">
      <formula>"OK"</formula>
    </cfRule>
  </conditionalFormatting>
  <conditionalFormatting sqref="L19">
    <cfRule type="expression" dxfId="53" priority="33">
      <formula>K19="NG"</formula>
    </cfRule>
  </conditionalFormatting>
  <conditionalFormatting sqref="L66">
    <cfRule type="expression" dxfId="52" priority="13">
      <formula>K66="NG"</formula>
    </cfRule>
  </conditionalFormatting>
  <conditionalFormatting sqref="L113">
    <cfRule type="expression" dxfId="51" priority="10">
      <formula>K113="NG"</formula>
    </cfRule>
  </conditionalFormatting>
  <conditionalFormatting sqref="L160">
    <cfRule type="expression" dxfId="50" priority="7">
      <formula>K160="NG"</formula>
    </cfRule>
  </conditionalFormatting>
  <conditionalFormatting sqref="L207">
    <cfRule type="expression" dxfId="49" priority="4">
      <formula>K207="NG"</formula>
    </cfRule>
  </conditionalFormatting>
  <conditionalFormatting sqref="L254">
    <cfRule type="expression" dxfId="48" priority="1">
      <formula>K254="NG"</formula>
    </cfRule>
  </conditionalFormatting>
  <dataValidations count="14">
    <dataValidation type="list" allowBlank="1" showInputMessage="1" showErrorMessage="1" sqref="G102:G110 G149:G157 G196:G204 G55:G63 G8:G16 G243:G251" xr:uid="{D274B3A4-F284-44BC-8528-2D042F18EBFE}">
      <formula1>"非削孔,粘性土,砂質土,崩積土,礫質土,砂　礫,玉　石,軟　岩,中硬岩,硬　岩,特殊地盤,無設定"</formula1>
    </dataValidation>
    <dataValidation type="list" allowBlank="1" showInputMessage="1" showErrorMessage="1" sqref="H20 H67 H114 H161 H208 H255" xr:uid="{FC8C6996-2318-4379-8BDE-A5446AD2D5F1}">
      <formula1>"ﾛｰﾀﾘｰﾊﾟｰｶｯｼｮﾝ二重管削孔方式，ｽｷｯﾄﾞ型削孔機55kW級,ﾛｰﾀﾘｰﾊﾟｰｶｯｼｮﾝ二重管削孔方式，ｸﾛｰﾗ型削孔機81kW級"</formula1>
    </dataValidation>
    <dataValidation type="list" allowBlank="1" showInputMessage="1" showErrorMessage="1" sqref="D56 D9 D103 D105 D197 D150 D58 D152 D199 D11 D244 D246" xr:uid="{AECE1264-7C75-4A3A-952E-0F2760157A38}">
      <formula1>"なし,あり"</formula1>
    </dataValidation>
    <dataValidation type="list" allowBlank="1" showInputMessage="1" showErrorMessage="1" sqref="D102 D8 D55 D149 D196 D243" xr:uid="{8CB2F5E0-14F9-476E-9C00-4E8478F4E40E}">
      <formula1>"防食Ⅱ,防食Ⅲ"</formula1>
    </dataValidation>
    <dataValidation type="list" allowBlank="1" showInputMessage="1" showErrorMessage="1" sqref="D104 D57 D151 D198 D10 D245" xr:uid="{DD3C8B17-AF7E-4C0A-9F9F-8534E0440A20}">
      <formula1>"　,──,DA220,DA440,DA660,DA880,DA1100,DA1320,DA1560,DB270,DB400,DB530,DB660,DB790,DB920,DB1050,DB1180,DB1310,DB1440,DB1580,DB1680,DB1870,DB2060,DB2340"</formula1>
    </dataValidation>
    <dataValidation type="list" allowBlank="1" showInputMessage="1" showErrorMessage="1" sqref="D148 D101 D7 D54 D195 D242" xr:uid="{BA902DC1-E5FB-4DDF-AEE1-51BC53604012}">
      <formula1>"　,EHD5-2,EHD5-3,EHD5-4,EHD5-5,EHD5-6,EHD5-7,EHD5-8,EHD5-9,EHD5-10,EHD5-11,EHD5-12,EHD6-9,EHD6-10,EHD6-11,EHD6-12,EHD6-13,EHD6-14,EHD6-15"</formula1>
    </dataValidation>
    <dataValidation type="list" allowBlank="1" showInputMessage="1" showErrorMessage="1" sqref="E151 E10 E198 E57 E104 E245" xr:uid="{22B8A324-A61A-4794-A4E7-7B125057139E}">
      <formula1>"　,H300,H350,H400"</formula1>
    </dataValidation>
    <dataValidation type="list" allowBlank="1" showInputMessage="1" showErrorMessage="1" sqref="B150 B9 B197 B56 B103 B244" xr:uid="{4D4E7A90-1172-4C16-9A74-728C9CF71DCC}">
      <formula1>"のり面角度台座,構造物壁面台座,土留め台座"</formula1>
    </dataValidation>
    <dataValidation type="list" allowBlank="1" showInputMessage="1" showErrorMessage="1" sqref="H102 H149" xr:uid="{AD99C0AE-BB3B-4244-9F02-8C9AFD8E2095}">
      <formula1>"　,壁面台座,受圧板,角度台座＋受圧板,のり枠□300,のり枠□400,のり枠□500,のり枠□600,角度台座＋のり枠□300,角度台座＋のり枠□400,角度台座＋のり枠□500,角度台座＋のり枠□600,角度台座＋のり枠□600,腹起し＋土留め台座"</formula1>
    </dataValidation>
    <dataValidation type="list" allowBlank="1" showInputMessage="1" showErrorMessage="1" sqref="N7" xr:uid="{2699C108-687B-4D74-BC5C-00DA727D1330}">
      <formula1>"【残置EHアンカー数量表・材料規格】,【長期EHアンカー数量表・材料規格】"</formula1>
    </dataValidation>
    <dataValidation type="list" allowBlank="1" showInputMessage="1" showErrorMessage="1" sqref="E7 E148 E195 E54 E101 E242" xr:uid="{653E1333-70D2-460A-9AA0-013B3F3A646D}">
      <formula1>"　,窓なしキャップ,窓付キャップ"</formula1>
    </dataValidation>
    <dataValidation type="list" allowBlank="1" showInputMessage="1" showErrorMessage="1" sqref="D22 D210 D69 D116 D163 D257" xr:uid="{25605CD4-B0B7-4B1E-B8B8-4308E0D3752C}">
      <formula1>"　,90,115,135,165"</formula1>
    </dataValidation>
    <dataValidation type="list" allowBlank="1" showInputMessage="1" showErrorMessage="1" sqref="H8 H55 H196 H243" xr:uid="{5AFEDAD8-C4EA-4182-9501-2408610C1EE1}">
      <formula1>"　,壁面台座,受圧板,角度台座＋受圧板,増コンクリート,のり枠□300,のり枠□400,のり枠□500,のり枠□600,角度台座＋のり枠□300,角度台座＋のり枠□400,角度台座＋のり枠□500,角度台座＋のり枠□600,角度台座＋のり枠□600,腹起し＋土留め台座"</formula1>
    </dataValidation>
    <dataValidation type="list" allowBlank="1" showInputMessage="1" showErrorMessage="1" sqref="B2:D2 B49:D49 B96:D96 B143:D143 B190:D190 B237:D237" xr:uid="{6271EA8C-EA78-4CE2-B5A7-62BB3915AD12}">
      <formula1>"【残置：EHDアンカー数量表・材料規格】,【長期：EHDアンカー数量表・材料規格】,【本設：EHDアンカー数量表・材料規格】"</formula1>
    </dataValidation>
  </dataValidations>
  <printOptions horizontalCentered="1"/>
  <pageMargins left="0.23622047244094491" right="0.23622047244094491" top="0.74803149606299213" bottom="0.74803149606299213" header="0.31496062992125984" footer="0.31496062992125984"/>
  <pageSetup paperSize="9" scale="83" orientation="landscape" r:id="rId1"/>
  <rowBreaks count="5" manualBreakCount="5">
    <brk id="47" max="11" man="1"/>
    <brk id="94" max="11" man="1"/>
    <brk id="141" max="11" man="1"/>
    <brk id="188" max="11" man="1"/>
    <brk id="235"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5CB1C-7920-4472-B01F-84B71309C545}">
  <sheetPr>
    <tabColor rgb="FF92D050"/>
  </sheetPr>
  <dimension ref="B2:W275"/>
  <sheetViews>
    <sheetView view="pageBreakPreview" zoomScale="85" zoomScaleNormal="85" zoomScaleSheetLayoutView="85" workbookViewId="0">
      <selection activeCell="B72" sqref="B72"/>
    </sheetView>
  </sheetViews>
  <sheetFormatPr defaultRowHeight="12" customHeight="1"/>
  <cols>
    <col min="1" max="1" width="1.875" customWidth="1"/>
    <col min="2" max="2" width="23" customWidth="1"/>
    <col min="3" max="3" width="5.375" customWidth="1"/>
    <col min="4" max="4" width="8.875" customWidth="1"/>
    <col min="5" max="5" width="9.625" customWidth="1"/>
    <col min="6" max="6" width="14.625" customWidth="1"/>
    <col min="7" max="7" width="9.875" customWidth="1"/>
    <col min="8" max="8" width="29.875" customWidth="1"/>
    <col min="9" max="9" width="6.375" style="101" customWidth="1"/>
    <col min="10" max="10" width="6.125" style="20" customWidth="1"/>
    <col min="11" max="12" width="9" style="20" customWidth="1"/>
  </cols>
  <sheetData>
    <row r="2" spans="2:12" ht="12" customHeight="1">
      <c r="B2" s="251" t="s">
        <v>95</v>
      </c>
      <c r="C2" s="251"/>
      <c r="D2" s="251"/>
      <c r="E2" s="251"/>
    </row>
    <row r="3" spans="2:12" ht="12" customHeight="1">
      <c r="B3" s="15" t="s">
        <v>94</v>
      </c>
      <c r="C3" s="15"/>
      <c r="D3" s="1"/>
      <c r="E3" s="1"/>
      <c r="F3" s="1"/>
    </row>
    <row r="4" spans="2:12" ht="12" customHeight="1">
      <c r="B4" s="111" t="s">
        <v>99</v>
      </c>
      <c r="D4" t="str">
        <f>IF(AND(MID(D7,1,2)="残置",MID(D8,3,1)&lt;&gt;"Ⅰ"),"【注意】 残置アンカーは、防食Ⅰ限定です。EHDアンカーに変更してください。","")</f>
        <v/>
      </c>
      <c r="E4" s="1"/>
      <c r="F4" s="1"/>
      <c r="G4" s="8"/>
      <c r="H4" s="8"/>
      <c r="I4" s="102"/>
      <c r="J4" s="28"/>
      <c r="K4" s="116"/>
    </row>
    <row r="5" spans="2:12" ht="12" customHeight="1">
      <c r="B5" s="15" t="s">
        <v>40</v>
      </c>
      <c r="E5" s="1"/>
      <c r="F5" s="1"/>
      <c r="G5" s="15" t="s">
        <v>54</v>
      </c>
      <c r="H5" s="15"/>
      <c r="I5" s="102"/>
      <c r="J5" s="28"/>
    </row>
    <row r="6" spans="2:12" ht="12" customHeight="1">
      <c r="B6" s="2" t="s">
        <v>53</v>
      </c>
      <c r="C6" s="2" t="s">
        <v>21</v>
      </c>
      <c r="D6" s="2" t="s">
        <v>22</v>
      </c>
      <c r="E6" s="2" t="s">
        <v>84</v>
      </c>
      <c r="F6" s="17"/>
      <c r="G6" s="2" t="s">
        <v>41</v>
      </c>
      <c r="H6" s="97" t="s">
        <v>59</v>
      </c>
      <c r="I6" s="49" t="s">
        <v>44</v>
      </c>
      <c r="J6" s="2" t="s">
        <v>21</v>
      </c>
      <c r="K6" s="49" t="s">
        <v>29</v>
      </c>
      <c r="L6" s="2" t="s">
        <v>28</v>
      </c>
    </row>
    <row r="7" spans="2:12" ht="12" customHeight="1">
      <c r="B7" s="51" t="s">
        <v>37</v>
      </c>
      <c r="C7" s="50" t="s">
        <v>38</v>
      </c>
      <c r="D7" s="70" t="s">
        <v>119</v>
      </c>
      <c r="E7" s="137" t="s">
        <v>71</v>
      </c>
      <c r="F7" s="17"/>
      <c r="G7" s="86" t="str">
        <f>IF(D19=0,"",G8)</f>
        <v/>
      </c>
      <c r="H7" s="87" t="str">
        <f>IF(D19=0,"",H9&amp;" (背面管部）")</f>
        <v/>
      </c>
      <c r="I7" s="88" t="str">
        <f>IF(D19=0,"",D20)</f>
        <v/>
      </c>
      <c r="J7" s="89" t="str">
        <f>IF(D19=0,"","m")</f>
        <v/>
      </c>
      <c r="K7" s="90" t="str">
        <f>IF(D19=0,"",D19)</f>
        <v/>
      </c>
      <c r="L7" s="29" t="str">
        <f>IF(D19=0,"",D12*K7)</f>
        <v/>
      </c>
    </row>
    <row r="8" spans="2:12" ht="12" customHeight="1">
      <c r="B8" s="52" t="s">
        <v>39</v>
      </c>
      <c r="C8" s="91" t="s">
        <v>38</v>
      </c>
      <c r="D8" s="71" t="s">
        <v>82</v>
      </c>
      <c r="E8" s="7"/>
      <c r="F8" s="17"/>
      <c r="G8" s="68" t="s">
        <v>43</v>
      </c>
      <c r="H8" s="68" t="s">
        <v>72</v>
      </c>
      <c r="I8" s="88" t="str" cm="1">
        <f t="array" ref="I8">_xlfn.IFS(AND(G8&lt;&gt;"非削孔",G8&lt;&gt;"無設定"),D22,G8="非削孔",IF(MID(B9,1,3)="土留め","非削孔","箱抜き"),G8="無設定","無設定")</f>
        <v>非削孔</v>
      </c>
      <c r="J8" s="23" t="str">
        <f>IF(G8="無設定","","m")</f>
        <v>m</v>
      </c>
      <c r="K8" s="69">
        <v>0.8</v>
      </c>
      <c r="L8" s="30">
        <f>D12*K8</f>
        <v>3.2</v>
      </c>
    </row>
    <row r="9" spans="2:12" ht="12" customHeight="1">
      <c r="B9" s="115" t="s">
        <v>70</v>
      </c>
      <c r="C9" s="91" t="s">
        <v>38</v>
      </c>
      <c r="D9" s="83" t="s">
        <v>52</v>
      </c>
      <c r="E9" s="139" t="str">
        <f>IF(OR(MID(B9,1,3)&lt;&gt;"土留め",D9="なし"),"","腹起し")</f>
        <v>腹起し</v>
      </c>
      <c r="F9" s="21"/>
      <c r="G9" s="68" t="s">
        <v>92</v>
      </c>
      <c r="H9" s="68" t="s">
        <v>103</v>
      </c>
      <c r="I9" s="88" cm="1">
        <f t="array" ref="I9">_xlfn.IFS(AND(G9&lt;&gt;"非削孔",G9&lt;&gt;"無設定"),D22,G9="非削孔","箱抜き",G9="無設定","無設定")</f>
        <v>165</v>
      </c>
      <c r="J9" s="23" t="str">
        <f t="shared" ref="J9:J17" si="0">IF(G9="無設定","","m")</f>
        <v>m</v>
      </c>
      <c r="K9" s="69">
        <v>19.5</v>
      </c>
      <c r="L9" s="30">
        <f>D12*K9</f>
        <v>78</v>
      </c>
    </row>
    <row r="10" spans="2:12" ht="12" customHeight="1">
      <c r="B10" s="114" t="str">
        <f>IF(OR(MID(B9,1,3)&lt;&gt;"土留め",D9="なし"),"",B9&amp;"の種類")</f>
        <v>土留め台座の種類</v>
      </c>
      <c r="C10" s="91" t="s">
        <v>38</v>
      </c>
      <c r="D10" s="113" t="s">
        <v>89</v>
      </c>
      <c r="E10" s="122" t="s">
        <v>67</v>
      </c>
      <c r="F10" s="21"/>
      <c r="G10" s="68" t="s">
        <v>48</v>
      </c>
      <c r="H10" s="68"/>
      <c r="I10" s="88" t="str" cm="1">
        <f t="array" ref="I10">_xlfn.IFS(AND(G10&lt;&gt;"非削孔",G10&lt;&gt;"無設定"),D22,G10="非削孔","箱抜き",G10="無設定","無設定")</f>
        <v>無設定</v>
      </c>
      <c r="J10" s="23" t="str">
        <f t="shared" si="0"/>
        <v/>
      </c>
      <c r="K10" s="69">
        <v>0</v>
      </c>
      <c r="L10" s="30">
        <f>D12*K10</f>
        <v>0</v>
      </c>
    </row>
    <row r="11" spans="2:12" ht="12" customHeight="1">
      <c r="B11" s="147" t="s">
        <v>50</v>
      </c>
      <c r="C11" s="91" t="s">
        <v>38</v>
      </c>
      <c r="D11" s="83" t="s">
        <v>51</v>
      </c>
      <c r="E11" s="19"/>
      <c r="F11" s="21"/>
      <c r="G11" s="68" t="s">
        <v>48</v>
      </c>
      <c r="H11" s="68"/>
      <c r="I11" s="88" t="str" cm="1">
        <f t="array" ref="I11">_xlfn.IFS(AND(G11&lt;&gt;"非削孔",G11&lt;&gt;"無設定"),D22,G11="非削孔","箱抜き",G11="無設定","無設定")</f>
        <v>無設定</v>
      </c>
      <c r="J11" s="23" t="str">
        <f t="shared" si="0"/>
        <v/>
      </c>
      <c r="K11" s="69">
        <v>0</v>
      </c>
      <c r="L11" s="30">
        <f>D12*K11</f>
        <v>0</v>
      </c>
    </row>
    <row r="12" spans="2:12" ht="12" customHeight="1">
      <c r="B12" s="22" t="s">
        <v>25</v>
      </c>
      <c r="C12" s="23" t="s">
        <v>24</v>
      </c>
      <c r="D12" s="92">
        <v>4</v>
      </c>
      <c r="E12" s="21"/>
      <c r="F12" s="21"/>
      <c r="G12" s="68" t="s">
        <v>48</v>
      </c>
      <c r="H12" s="68"/>
      <c r="I12" s="88" t="str" cm="1">
        <f t="array" ref="I12">_xlfn.IFS(AND(G12&lt;&gt;"非削孔",G12&lt;&gt;"無設定"),D22,G12="非削孔","箱抜き",G12="無設定","無設定")</f>
        <v>無設定</v>
      </c>
      <c r="J12" s="23" t="str">
        <f t="shared" si="0"/>
        <v/>
      </c>
      <c r="K12" s="69">
        <v>0</v>
      </c>
      <c r="L12" s="30">
        <f>D12*K12</f>
        <v>0</v>
      </c>
    </row>
    <row r="13" spans="2:12" ht="12" customHeight="1">
      <c r="B13" s="22" t="s">
        <v>108</v>
      </c>
      <c r="C13" s="23" t="s">
        <v>23</v>
      </c>
      <c r="D13" s="47">
        <v>12.5</v>
      </c>
      <c r="E13" s="21"/>
      <c r="F13" s="21"/>
      <c r="G13" s="68" t="s">
        <v>61</v>
      </c>
      <c r="H13" s="68"/>
      <c r="I13" s="88" t="str" cm="1">
        <f t="array" ref="I13">_xlfn.IFS(AND(G13&lt;&gt;"非削孔",G13&lt;&gt;"無設定"),D22,G13="非削孔","箱抜き",G13="無設定","無設定")</f>
        <v>無設定</v>
      </c>
      <c r="J13" s="23" t="str">
        <f t="shared" si="0"/>
        <v/>
      </c>
      <c r="K13" s="69">
        <v>0</v>
      </c>
      <c r="L13" s="30">
        <f>D12*K13</f>
        <v>0</v>
      </c>
    </row>
    <row r="14" spans="2:12" ht="12" customHeight="1">
      <c r="B14" s="22" t="s">
        <v>36</v>
      </c>
      <c r="C14" s="23" t="s">
        <v>23</v>
      </c>
      <c r="D14" s="47">
        <v>7</v>
      </c>
      <c r="E14" s="21"/>
      <c r="F14" s="21"/>
      <c r="G14" s="68" t="s">
        <v>48</v>
      </c>
      <c r="H14" s="68"/>
      <c r="I14" s="88" t="str" cm="1">
        <f t="array" ref="I14">_xlfn.IFS(AND(G14&lt;&gt;"非削孔",G14&lt;&gt;"無設定"),D22,G14="非削孔","箱抜き",G14="無設定","無設定")</f>
        <v>無設定</v>
      </c>
      <c r="J14" s="23" t="str">
        <f t="shared" si="0"/>
        <v/>
      </c>
      <c r="K14" s="69">
        <v>0</v>
      </c>
      <c r="L14" s="30">
        <f>D12*K14</f>
        <v>0</v>
      </c>
    </row>
    <row r="15" spans="2:12" ht="12" customHeight="1">
      <c r="B15" s="148" t="str" cm="1">
        <f t="array" ref="B15">"頭部自由長("&amp;_xlfn.IFS(AND(MID(B9,1,3)="土留め",D9="あり"),"腹起し+台座",AND(MID(B9,1,3)="土留め",D9="なし"),"台座なし",AND(MID(B9,1,3)="構造物",D9="あり"),"壁面台座",AND(MID(B9,1,3)="構造物",D9="なし"),"台座なし",AND(MID(B9,1,3)="のり面",D9="あり"),"角度台座＋受圧体",AND(MID(B9,1,3)="のり面",D9="なし"),"受圧体")&amp;")　"&amp;"Lfh"</f>
        <v>頭部自由長(腹起し+台座)　Lfh</v>
      </c>
      <c r="C15" s="23" t="s">
        <v>23</v>
      </c>
      <c r="D15" s="47">
        <v>0.8</v>
      </c>
      <c r="E15" s="21"/>
      <c r="F15" s="21"/>
      <c r="G15" s="68" t="s">
        <v>48</v>
      </c>
      <c r="H15" s="68"/>
      <c r="I15" s="88" t="str" cm="1">
        <f t="array" ref="I15">_xlfn.IFS(AND(G15&lt;&gt;"非削孔",G15&lt;&gt;"無設定"),D22,G15="非削孔","箱抜き",G15="無設定","無設定")</f>
        <v>無設定</v>
      </c>
      <c r="J15" s="23" t="str">
        <f t="shared" si="0"/>
        <v/>
      </c>
      <c r="K15" s="69">
        <v>0</v>
      </c>
      <c r="L15" s="30">
        <f>D12*K15</f>
        <v>0</v>
      </c>
    </row>
    <row r="16" spans="2:12" ht="12" customHeight="1">
      <c r="B16" s="146" t="s">
        <v>69</v>
      </c>
      <c r="C16" s="23" t="s">
        <v>23</v>
      </c>
      <c r="D16" s="24">
        <f>IF(D7="　","──",IF(MID(D7,6,2)*IF(MID(D7,4,1)="5",183,261)*IF(MID(D8,3,1)="Ⅰ",0.65,0.6)*IF(MID(D7,1,2)="除去",0.9,1)&lt;=700,1,1.5))</f>
        <v>1.5</v>
      </c>
      <c r="E16" s="120"/>
      <c r="G16" s="68" t="s">
        <v>48</v>
      </c>
      <c r="H16" s="68"/>
      <c r="I16" s="88" t="str" cm="1">
        <f t="array" ref="I16">_xlfn.IFS(AND(G16&lt;&gt;"非削孔",G16&lt;&gt;"無設定"),D22,G16="非削孔","箱抜き",G16="無設定","無設定")</f>
        <v>無設定</v>
      </c>
      <c r="J16" s="23" t="str">
        <f t="shared" si="0"/>
        <v/>
      </c>
      <c r="K16" s="69">
        <v>0</v>
      </c>
      <c r="L16" s="30">
        <f>D12*K16</f>
        <v>0</v>
      </c>
    </row>
    <row r="17" spans="2:23" ht="12" customHeight="1">
      <c r="B17" s="6" t="s">
        <v>109</v>
      </c>
      <c r="C17" s="23" t="s">
        <v>23</v>
      </c>
      <c r="D17" s="60">
        <f>IF(D7="　","──",SUM(D13:D16))</f>
        <v>21.8</v>
      </c>
      <c r="E17" s="121"/>
      <c r="F17" s="19"/>
      <c r="G17" s="99" t="str" cm="1">
        <f t="array" ref="G17">INDEX(G8:I16,MATCH("無設定",G8:G16,0)-1,MATCH(G6,G6:I6,0))</f>
        <v>砂質土</v>
      </c>
      <c r="H17" s="100" t="str" cm="1">
        <f t="array" ref="H17">INDEX(G8:I16,MATCH("無設定",G8:G16,0)-1,MATCH(H6,G6:I6,0))&amp;"　(先端削孔長)"</f>
        <v>沖積層～洪積層　(先端削孔長)</v>
      </c>
      <c r="I17" s="88" cm="1">
        <f t="array" ref="I17">INDEX(G8:I16,MATCH("無設定",G8:G16,0)-1,MATCH(I6,G6:I6,0))</f>
        <v>165</v>
      </c>
      <c r="J17" s="23" t="str">
        <f t="shared" si="0"/>
        <v>m</v>
      </c>
      <c r="K17" s="98">
        <f>D21</f>
        <v>0.2</v>
      </c>
      <c r="L17" s="78">
        <f>IFERROR(D12*K17,"")</f>
        <v>0.8</v>
      </c>
    </row>
    <row r="18" spans="2:23" ht="12" customHeight="1">
      <c r="B18" s="22" t="s">
        <v>75</v>
      </c>
      <c r="C18" s="23" t="s">
        <v>35</v>
      </c>
      <c r="D18" s="84">
        <f>IF(D7="　","──",IF(MID(D7,1,2)="除去",0,0.2))</f>
        <v>0</v>
      </c>
      <c r="E18" s="123"/>
      <c r="F18" s="19"/>
      <c r="G18" s="72"/>
      <c r="H18" s="75" t="s">
        <v>45</v>
      </c>
      <c r="I18" s="103"/>
      <c r="J18" s="18" t="s">
        <v>23</v>
      </c>
      <c r="K18" s="74">
        <f>SUMIFS(K7:K17,G7:G17,"&lt;&gt;非削孔",G7:G17,"&lt;&gt;無設定")</f>
        <v>19.7</v>
      </c>
      <c r="L18" s="95">
        <f>SUMIFS(L7:L17,G7:G17,"&lt;&gt;非削孔",G7:G17,"&lt;&gt;無設定")</f>
        <v>78.8</v>
      </c>
    </row>
    <row r="19" spans="2:23" ht="12" customHeight="1">
      <c r="B19" s="22" t="s">
        <v>73</v>
      </c>
      <c r="C19" s="23" t="s">
        <v>35</v>
      </c>
      <c r="D19" s="85">
        <v>0</v>
      </c>
      <c r="E19" s="123"/>
      <c r="F19" s="19"/>
      <c r="G19" s="73"/>
      <c r="H19" s="76" t="s">
        <v>47</v>
      </c>
      <c r="I19" s="104"/>
      <c r="J19" s="79" t="s">
        <v>46</v>
      </c>
      <c r="K19" s="77" t="str">
        <f>IF(D7="　","",IF(SUM(D13:D15,D19,D21)=K18+SUMIFS(K7:K17,G7:G17,"=非削孔"),"OK","NG"))</f>
        <v>OK</v>
      </c>
      <c r="L19" s="145" t="str">
        <f>IF(K19&lt;&gt;"NG","──",K18+SUMIFS(K7:K17,G7:G17,"=非削孔")-SUM(D13:D15,D19,D21))</f>
        <v>──</v>
      </c>
    </row>
    <row r="20" spans="2:23" ht="12" customHeight="1">
      <c r="B20" s="22" t="str">
        <f>IF(D7="　","",IF(D19=0,"","頭部背面管削孔径　Dh"))</f>
        <v/>
      </c>
      <c r="C20" s="23" t="str">
        <f>IF(D7="　","",IF(D19=0,"","mm"))</f>
        <v/>
      </c>
      <c r="D20" s="93" t="str" cm="1">
        <f t="array" ref="D20">IF(D7="　","",IF(D19=0,"",IF(MID(D7,4,1)="5",_xlfn.IFS(VALUE(MID(D7,6,2))&lt;7,115,VALUE(MID(D7,6,2))&gt;6,135),"未設定")))</f>
        <v/>
      </c>
      <c r="E20" s="121"/>
      <c r="F20" s="19"/>
      <c r="G20" s="94" t="s">
        <v>58</v>
      </c>
      <c r="H20" s="252" t="s">
        <v>62</v>
      </c>
      <c r="I20" s="253"/>
      <c r="J20" s="253"/>
      <c r="K20" s="253"/>
      <c r="L20" s="254"/>
    </row>
    <row r="21" spans="2:23" ht="12" customHeight="1">
      <c r="B21" s="25" t="s">
        <v>74</v>
      </c>
      <c r="C21" s="26" t="s">
        <v>23</v>
      </c>
      <c r="D21" s="27">
        <f>IF(MID(D7,1,2)="残置",0.25,0.2)</f>
        <v>0.2</v>
      </c>
      <c r="E21" s="117"/>
      <c r="F21" s="1"/>
      <c r="G21" s="8"/>
      <c r="H21" s="8"/>
      <c r="I21" s="102"/>
    </row>
    <row r="22" spans="2:23" ht="12" customHeight="1">
      <c r="B22" s="25" t="s">
        <v>57</v>
      </c>
      <c r="C22" s="26" t="s">
        <v>32</v>
      </c>
      <c r="D22" s="82" cm="1">
        <f t="array" ref="D22">IF(D7="　","──",IF(E22="　",_xlfn.IFS(MID(D7,1,2)="除去",IF(MID(D7,4,1)="5",135,165),MID(D7,1,2)="残置",IF(MID(D7,4,1)="5",IF(VALUE(MID(D7,6,2))&lt;8,115,135),IF(VALUE(MID(D7,6,2))&lt;10,146,165))),E22))</f>
        <v>165</v>
      </c>
      <c r="E22" s="142" t="s">
        <v>71</v>
      </c>
      <c r="F22" s="1"/>
      <c r="G22" s="8"/>
      <c r="H22" s="8"/>
      <c r="I22" s="102"/>
    </row>
    <row r="23" spans="2:23" ht="12" customHeight="1">
      <c r="F23" s="1"/>
      <c r="G23" s="8"/>
      <c r="H23" s="8"/>
      <c r="I23" s="102"/>
      <c r="K23" s="20">
        <f>(D17+D14*(1/MID(D7,6,2)-0.5))*MID(D7,6,2)*IF(MID(D7,4,1)="5","0.774","1.101")</f>
        <v>209.19</v>
      </c>
    </row>
    <row r="24" spans="2:23" ht="12" customHeight="1">
      <c r="B24" s="15" t="str">
        <f>"■"&amp;MID(B2,2,17)</f>
        <v>■短期仮設：KJS除去アンカー数量表</v>
      </c>
      <c r="C24" s="3"/>
      <c r="D24" s="1"/>
      <c r="E24" s="1"/>
      <c r="F24" s="1"/>
      <c r="G24" s="8"/>
      <c r="H24" s="8"/>
      <c r="I24" s="102"/>
    </row>
    <row r="25" spans="2:23" ht="12" customHeight="1">
      <c r="B25" s="2" t="s">
        <v>17</v>
      </c>
      <c r="C25" s="43"/>
      <c r="D25" s="134"/>
      <c r="E25" s="61" t="s">
        <v>78</v>
      </c>
      <c r="F25" s="135"/>
      <c r="G25" s="16"/>
      <c r="H25" s="61" t="s">
        <v>42</v>
      </c>
      <c r="I25" s="97"/>
      <c r="J25" s="2" t="s">
        <v>21</v>
      </c>
      <c r="K25" s="49" t="s">
        <v>29</v>
      </c>
      <c r="L25" s="2" t="s">
        <v>28</v>
      </c>
    </row>
    <row r="26" spans="2:23" ht="12" customHeight="1">
      <c r="B26" s="4" t="str">
        <f>IF(MID(D7,1,2)="除去","アンボンド","")&amp;"PCストランド"</f>
        <v>アンボンドPCストランド</v>
      </c>
      <c r="C26" s="39" t="str">
        <f>IF(D7="　","",D7&amp;"("&amp;MID(D7,6,2)&amp;IF(MID(D7,4,1)="5","φ12.7","φ15.2")&amp;")")</f>
        <v>除去J6-10(10φ15.2)</v>
      </c>
      <c r="D26" s="32"/>
      <c r="E26" s="32"/>
      <c r="F26" s="33"/>
      <c r="G26" s="143" t="str">
        <f>"W="&amp;IF(MID(D7,1,2)="除去","(ﾃﾝﾄﾞﾝ長+ｱﾝｶｰ体長×(1/鋼線本数-0.5))","(テンドン長+先端長0.2m)")&amp;"×鋼線本数×"&amp;IF(MID(D7,4,1)="5","0.774","1.101")&amp;"kg/m"</f>
        <v>W=(ﾃﾝﾄﾞﾝ長+ｱﾝｶｰ体長×(1/鋼線本数-0.5))×鋼線本数×1.101kg/m</v>
      </c>
      <c r="H26" s="62"/>
      <c r="I26" s="105"/>
      <c r="J26" s="5" t="s">
        <v>11</v>
      </c>
      <c r="K26" s="29">
        <f>IF(D7="　","",MROUND(IF(MID(D7,1,2)="除去",D17+D14*(1/MID(D7,6,2)-0.5),D17+D18)*MID(D7,6,2)*IF(MID(D7,4,1)="5","0.774","1.101"),0.01))</f>
        <v>209.19</v>
      </c>
      <c r="L26" s="29">
        <f>IFERROR(D12*K26,"")</f>
        <v>836.76</v>
      </c>
      <c r="M26" s="13"/>
    </row>
    <row r="27" spans="2:23" ht="12" customHeight="1">
      <c r="B27" s="6" t="s">
        <v>20</v>
      </c>
      <c r="C27" s="34"/>
      <c r="D27" s="35"/>
      <c r="E27" s="35"/>
      <c r="F27" s="36"/>
      <c r="G27" s="56" t="str">
        <f>"L=テンドン長"&amp;IF(MID(D7,1,2)="除去","+アンカー体長×(1/鋼線本数-0.5))","")</f>
        <v>L=テンドン長+アンカー体長×(1/鋼線本数-0.5))</v>
      </c>
      <c r="H27" s="63"/>
      <c r="I27" s="106"/>
      <c r="J27" s="7" t="s">
        <v>12</v>
      </c>
      <c r="K27" s="30">
        <f>IF(D7="　","",MROUND(D17+IF(MID(D7,1,2)="除去",D14*(1/MID(D7,6,2)-0.5),0),0.1))</f>
        <v>19</v>
      </c>
      <c r="L27" s="30">
        <f>IFERROR(D12*K27,"")</f>
        <v>76</v>
      </c>
    </row>
    <row r="28" spans="2:23" ht="12" customHeight="1">
      <c r="B28" s="6" t="str">
        <f>IF(MID(D7,1,2)="除去","耐荷体","注入ホース")</f>
        <v>耐荷体</v>
      </c>
      <c r="C28" s="34" t="str" cm="1">
        <f t="array" ref="C28">IF(D7="　","",IF(MID(D7,1,2)="除去",IF(MID(D7,1,2)="除去",MID(D7,3,2)&amp;"用Bタイプ、FCD450相当"&amp;_xlfn.IFS(MID(D8,3,1)="Ⅰ","",MID(D8,3,1)="Ⅱ","、亜鉛めっき処理",MID(D8,3,1)="Ⅲ","、ｱﾙﾐﾅｲｽﾞ処理"),""),"1/2″"))</f>
        <v>J6用Bタイプ、FCD450相当</v>
      </c>
      <c r="D28" s="35"/>
      <c r="E28" s="35"/>
      <c r="F28" s="36"/>
      <c r="G28" s="127" t="str">
        <f>IF(MID(D7,1,2)="除去","N="&amp;0.5*MID(D7,6,2),"L=テンドン長")</f>
        <v>N=5</v>
      </c>
      <c r="H28" s="63"/>
      <c r="I28" s="106"/>
      <c r="J28" s="7" t="str">
        <f>IF(MID(D7,1,2)="除去","個","m")</f>
        <v>個</v>
      </c>
      <c r="K28" s="130" t="str">
        <f>IF(D7="　","",IF(MID(D7,1,2)="除去",MID(G28,3,2),MROUND(D17,0.1)))</f>
        <v>5</v>
      </c>
      <c r="L28" s="30">
        <f>IFERROR(D12*K28,"")</f>
        <v>20</v>
      </c>
      <c r="W28" s="124"/>
    </row>
    <row r="29" spans="2:23" ht="12" customHeight="1">
      <c r="B29" s="109" t="str">
        <f>IF(MID(D7,1,2)="除去","結束テープ","パイロットキャップ")</f>
        <v>結束テープ</v>
      </c>
      <c r="C29" s="34" t="str" cm="1">
        <f t="array" ref="C29">IF(D7="　","",IF(MID(D7,1,2)="除去","","Ｊ"&amp;IF(MID(D7,4,1)="5",_xlfn.IFS(VALUE(MID(D7,6,2))&lt;5,"5-4",VALUE(MID(D7,6,2))&lt;8,"5-7",VALUE(MID(D7,6,2))&lt;10,"5-9",VALUE(MID(D7,6,2))&gt;9,"5-12"),_xlfn.IFS(VALUE(MID(D7,6,2))&lt;10,"6-9",VALUE(MID(D7,6,2))&lt;13,"6-12",VALUE(MID(D7,6,2))&gt;12,"6-19"))&amp;"用、"&amp;IF(AND(MID(D7,4,1)="6",VALUE(MID(D7,6,2))&gt;9),"AC2A","ポリプロピレン")))</f>
        <v/>
      </c>
      <c r="D29" s="35"/>
      <c r="E29" s="35"/>
      <c r="F29" s="36"/>
      <c r="G29" s="52" t="str">
        <f>IF(MID(D7,1,2)="除去","L=(自由長+頭部自由長+緊張余長)÷2.0mピッチ","N=1")</f>
        <v>L=(自由長+頭部自由長+緊張余長)÷2.0mピッチ</v>
      </c>
      <c r="H29" s="110"/>
      <c r="I29" s="53"/>
      <c r="J29" s="7" t="str">
        <f>IF(MID(D7,1,2)="除去","m","個")</f>
        <v>m</v>
      </c>
      <c r="K29" s="130">
        <f>IF(D7="　","",IF(MID(D7,1,2)="除去",MROUND(SUM(D13,D15:D16)/2,0.01),MID(G29,3,2)))</f>
        <v>7.4</v>
      </c>
      <c r="L29" s="30">
        <f>IFERROR(D12*K29,"")</f>
        <v>29.6</v>
      </c>
    </row>
    <row r="30" spans="2:23" ht="12" customHeight="1">
      <c r="B30" s="109" t="str">
        <f>IF(MID(D7,1,2)="除去",IF(D8="防食Ⅰ","アンカープレート","溝付アンカープレート"),"スペーサ")</f>
        <v>アンカープレート</v>
      </c>
      <c r="C30" s="96" t="str" cm="1">
        <f t="array" ref="C30">IF(D7="　","",_xlfn.SINGLE(IF(MID(D7,1,2)="除去","J"&amp;_xlfn.SINGLE(IF(MID(D7,4,1)="5",_xlfn.IFS(VALUE(MID(D7,6,2))&lt;3,"5-2",VALUE(MID(D7,6,2))&lt;5,"5-4",VALUE(MID(D7,6,2))&lt;7,"5-7",VALUE(MID(D7,6,2))&lt;10,"5-9",VALUE(MID(D7,6,2))&gt;9,"5-12"),_xlfn.IFS(VALUE(MID(D7,6,2))&lt;13,"6-12")))&amp;"用、"&amp;IF(D8="防食Ⅰ","SS400相当","SS400・STKM13A相当、防食：")&amp;_xlfn.IFS(D8="防食Ⅰ","無処理",D8="防食Ⅱ","亜鉛めっき処理",D8="防食Ⅲ","ｱﾙﾐﾅｲｽﾞ処理"),"J"&amp;IF(MID(D7,4,1)="5",_xlfn.IFS(VALUE(MID(D7,6,2))&lt;8,"5-7",VALUE(MID(D7,6,2))&gt;7,"5-12"),_xlfn.IFS(VALUE(MID(D7,6,2))&lt;8,"6-7",VALUE(MID(D7,6,2))&lt;13,"6-12",VALUE(MID(D7,6,2))&gt;12,"6-19"))&amp;"用、"&amp;IF(AND(MID(D7,4,1)="6",VALUE(MID(D7,6,2))&gt;9),"AC2B","ポリプロピレン"))))</f>
        <v>J6-12用、SS400相当無処理</v>
      </c>
      <c r="D30" s="35"/>
      <c r="E30" s="35"/>
      <c r="F30" s="36"/>
      <c r="G30" s="127" t="str">
        <f>IF(MID(D7,1,2)="除去","N=1","N=アンカー体÷1.0mピッチ")</f>
        <v>N=1</v>
      </c>
      <c r="H30" s="63"/>
      <c r="I30" s="106"/>
      <c r="J30" s="7" t="str">
        <f>IF(MID(D7,1,2)="除去","枚","m")</f>
        <v>枚</v>
      </c>
      <c r="K30" s="130" t="str">
        <f>IF(D7="　","",IF(D7="　","",IF(MID(D7,1,2)="除去",MID(G30,3,2),MROUND(D14/1,1))))</f>
        <v>1</v>
      </c>
      <c r="L30" s="30">
        <f>IFERROR(D12*K30,"")</f>
        <v>4</v>
      </c>
      <c r="T30" s="13"/>
    </row>
    <row r="31" spans="2:23" ht="12" customHeight="1">
      <c r="B31" s="109" t="str">
        <f>IF(MID(D7,1,2)="除去","アンカーヘッド","結束バンド")</f>
        <v>アンカーヘッド</v>
      </c>
      <c r="C31" s="34" t="str">
        <f>IF(D7="　","",IF(MID(D7,1,2)="除去","J"&amp;IF(MID(D7,4,1)="5",_xlfn.IFS(VALUE(MID(D7,6,2))&lt;3,"5-2",VALUE(MID(D7,6,2))&lt;4,"5-3",VALUE(MID(D7,6,2))&lt;5,"5-4",VALUE(MID(D7,6,2))&lt;8,"5-7",VALUE(MID(D7,6,2))&lt;10,"5-9",VALUE(MID(D7,6,2))&gt;9,"5-12"),_xlfn.IFS(VALUE(MID(D7,6,2))&lt;8,"6-7",VALUE(MID(D7,6,2))&gt;7,"6-12"))&amp;"用、S45C相当","AB350、66ナイロン"))</f>
        <v>J6-12用、S45C相当</v>
      </c>
      <c r="D31" s="35"/>
      <c r="E31" s="35"/>
      <c r="F31" s="36"/>
      <c r="G31" s="127" t="str">
        <f>IF(MID(D7,1,2)="除去","N=1","N=スペーサ数×2")</f>
        <v>N=1</v>
      </c>
      <c r="H31" s="63"/>
      <c r="I31" s="106"/>
      <c r="J31" s="7" t="str">
        <f>IF(MID(D7,1,2)="除去","個","本")</f>
        <v>個</v>
      </c>
      <c r="K31" s="130" t="str">
        <f>IF(D7="　","",IF(MID(D7,1,2)="除去",MID(G31,3,2),2*K30))</f>
        <v>1</v>
      </c>
      <c r="L31" s="30">
        <f>IFERROR(D12*K31,"")</f>
        <v>4</v>
      </c>
    </row>
    <row r="32" spans="2:23" ht="12" customHeight="1">
      <c r="B32" s="6" t="str">
        <f>IF(MID(D7,1,2)="除去","くさび","ポリホース")</f>
        <v>くさび</v>
      </c>
      <c r="C32" s="34" t="str">
        <f>IF(D7="　","",IF(MID(D7,1,2)="除去",MID(D7,3,5)&amp;"用、"&amp;IF(MID(D7,4,1)="5","φ12.7","φ15.2")&amp;"、SCM415相当","1-1/2″"))</f>
        <v>J6-10用、φ15.2、SCM415相当</v>
      </c>
      <c r="D32" s="35"/>
      <c r="E32" s="35"/>
      <c r="F32" s="36"/>
      <c r="G32" s="127" t="str">
        <f>IF(MID(D7,1,2)="除去","N="&amp;MID(D7,6,2),"L=自由長-0.5m")</f>
        <v>N=10</v>
      </c>
      <c r="H32" s="63"/>
      <c r="I32" s="106"/>
      <c r="J32" s="7" t="str">
        <f>IF(MID(D7,1,2)="除去","組","m")</f>
        <v>組</v>
      </c>
      <c r="K32" s="130" t="str">
        <f>IF(D7="　","",IF(MID(D7,1,2)="除去",MID(G32,3,2),D13+D15-0.5))</f>
        <v>10</v>
      </c>
      <c r="L32" s="30">
        <f>IFERROR(D12*K32,"")</f>
        <v>40</v>
      </c>
    </row>
    <row r="33" spans="2:14" ht="12" customHeight="1">
      <c r="B33" s="6" t="str">
        <f>IF(MID(D7,1,2)="除去",IF(D8="防食Ⅰ","","ヘッドキャップ"),"アンカープレート")</f>
        <v/>
      </c>
      <c r="C33" s="96" t="str" cm="1">
        <f t="array" ref="C33">IF(D7="　","",IF(MID(D7,1,2)="除去",IF(D8="防食Ⅰ","","J"&amp;_xlfn.SINGLE(IF(MID(D7,4,1)="5",_xlfn.IFS(VALUE(MID(D7,6,2))&lt;5,"5-4",VALUE(MID(D7,6,2))&lt;8,"5-7",VALUE(MID(D7,6,2))&gt;7,"5-12"),"未設定"))&amp;"RN用、AC4C相当"&amp;IF(D8="防食Ⅱ","","、防食：タケコート処理")),"J"&amp;_xlfn.SINGLE(IF(MID(D7,4,1)="5",_xlfn.IFS(VALUE(MID(D7,6,2))&lt;3,"5-2",VALUE(MID(D7,6,2))&lt;5,"5-4",VALUE(MID(D7,6,2))&lt;7,"5-7",VALUE(MID(D7,6,2))&lt;10,"5-9",VALUE(MID(D7,6,2))&gt;9,"5-12"),_xlfn.IFS(VALUE(MID(D7,6,2))&lt;13,"6-12")))&amp;"用、"&amp;IF(D8="防食Ⅰ","SS400相当","SS400・STKM13A相当、防食：")&amp;_xlfn.IFS(D8="防食Ⅰ","、防食：無処理",D8="防食Ⅱ","、防食：亜鉛めっき",D8="防食Ⅲ","、防食：ｱﾙﾐﾅｲｽﾞ")))</f>
        <v/>
      </c>
      <c r="D33" s="44"/>
      <c r="E33" s="44"/>
      <c r="F33" s="45"/>
      <c r="G33" s="52" t="str">
        <f>IF(MID(D7,1,2)="除去",IF(D8="防食Ⅰ","","N=1"),"N=1")</f>
        <v/>
      </c>
      <c r="H33" s="64"/>
      <c r="I33" s="53"/>
      <c r="J33" s="7" t="str">
        <f>IF(MID(D7,1,2)="除去",IF(D8="防食Ⅰ","","個"),"枚")</f>
        <v/>
      </c>
      <c r="K33" s="130" t="str">
        <f>IF(D7="　","",IF(MID(D7,1,2)="除去",MID(G33,3,2),MID(G33,3,2)))</f>
        <v/>
      </c>
      <c r="L33" s="30" t="str">
        <f>IFERROR(D12*K33,"")</f>
        <v/>
      </c>
    </row>
    <row r="34" spans="2:14" ht="12" customHeight="1">
      <c r="B34" s="6" t="str">
        <f>IF(MID(D7,1,2)="除去",IF(D8="防食Ⅰ","","頭部防錆油"),"アンカーヘッド")</f>
        <v/>
      </c>
      <c r="C34" s="34" t="str">
        <f>IF(D7="　","",IF(MID(D7,1,2)="除去",IF(D8="防食Ⅰ","","PCコートC"),"J"&amp;IF(MID(D7,4,1)="5",_xlfn.IFS(VALUE(MID(D7,6,2))&lt;3,"5-2",VALUE(MID(D7,6,2))&lt;4,"5-3",VALUE(MID(D7,6,2))&lt;5,"5-4",VALUE(MID(D7,6,2))&lt;8,"5-7",VALUE(MID(D7,6,2))&lt;10,"5-9",VALUE(MID(D7,6,2))&gt;9,"5-12"),_xlfn.IFS(VALUE(MID(D7,6,2))&lt;8,"6-7",VALUE(MID(D7,6,2))&gt;7,"6-12"))&amp;"用、S45C相当"))</f>
        <v/>
      </c>
      <c r="D34" s="35"/>
      <c r="E34" s="35"/>
      <c r="F34" s="36"/>
      <c r="G34" s="52" t="str" cm="1">
        <f t="array" ref="G34">IF(MID(D7,1,2)="除去",_xlfn.SINGLE(IF(D8="防食Ⅰ","","W="&amp;IF(MID(D7,4,1)="5",_xlfn.IFS(VALUE(MID(D7,6,2))&lt;4,1.8,VALUE(MID(D7,6,2))&lt;5,2,VALUE(MID(D7,6,2))&lt;8,2.7,VALUE(MID(D7,6,2))&gt;7,5),_xlfn.IFS(VALUE(MID(D7,6,2))=1,1.8,VALUE(MID(D7,6,2))&lt;3,2,VALUE(MID(D7,6,2))&lt;5,2.7,VALUE(MID(D7,6,2))&lt;8,5,VALUE(MID(D7,6,2))&gt;7,12.3)))),"N=1")</f>
        <v/>
      </c>
      <c r="H34" s="64"/>
      <c r="I34" s="53"/>
      <c r="J34" s="7" t="str">
        <f>IF(MID(D7,1,2)="除去",IF(D8="防食Ⅰ","","kg"),"個")</f>
        <v/>
      </c>
      <c r="K34" s="130" t="str">
        <f>IF(D7="　","",IF(MID(D7,1,2)="除去",MID(G34,3,4),MID(G34,3,2)))</f>
        <v/>
      </c>
      <c r="L34" s="30" t="str">
        <f>IFERROR(D12*K34,"")</f>
        <v/>
      </c>
    </row>
    <row r="35" spans="2:14" ht="12" customHeight="1">
      <c r="B35" s="6" t="str">
        <f>IF(MID(D7,1,2)="除去",IF(D8="防食Ⅰ","","止水具スペーサ"),"くさび")</f>
        <v/>
      </c>
      <c r="C35" s="34" t="str">
        <f>IF(D7="　","",IF(MID(D7,1,2)="除去",IF(D8="防食Ⅰ","",MID(D7,3,5)&amp;"用、NBR45相当"),MID(D7,3,5)&amp;"用、"&amp;IF(MID(D7,4,1)="5","φ12.7","φ15.2")&amp;"、SCM415相当"))</f>
        <v/>
      </c>
      <c r="D35" s="35"/>
      <c r="E35" s="35"/>
      <c r="F35" s="36"/>
      <c r="G35" s="52" t="str">
        <f>IF(D7="　","",IF(MID(D7,1,2)="除去",IF(D8="防食Ⅰ","","N="&amp;1),"N="&amp;MID(D7,6,2)))</f>
        <v/>
      </c>
      <c r="H35" s="64"/>
      <c r="I35" s="53"/>
      <c r="J35" s="7" t="str">
        <f>IF(MID(D7,1,2)="除去",IF(D8="防食Ⅰ","","個"),"組")</f>
        <v/>
      </c>
      <c r="K35" s="130" t="str">
        <f>IF(D7="　","",IF(MID(D7,1,2)="除去",MID(G35,3,2),MID(G35,3,2)))</f>
        <v/>
      </c>
      <c r="L35" s="30" t="str">
        <f>IFERROR(D12*K35,"")</f>
        <v/>
      </c>
    </row>
    <row r="36" spans="2:14" ht="12" customHeight="1">
      <c r="B36" s="6" t="str">
        <f>IF(MID(D7,1,2)="除去",IF(D8="防食Ⅰ","","配列スペーサ"),"サンタックシーラー")</f>
        <v/>
      </c>
      <c r="C36" s="34" t="str">
        <f>IF(D7="　","",IF(MID(D7,1,2)="除去",IF(D8="防食Ⅰ","","J"&amp;IF(MID(D7,4,1)="5",_xlfn.IFS(VALUE(MID(D7,6,2))=3,"5-3",VALUE(MID(D7,6,2))&lt;5,"5-4",VALUE(MID(D7,6,2))&lt;8,"5-7",VALUE(MID(D7,6,2))&gt;7,"5-12"),_xlfn.IFS(VALUE(MID(D7,6,2))=3,"6-3",VALUE(MID(D7,6,2))&lt;5,"6-4",VALUE(MID(D7,6,2))&lt;8,"6-7",VALUE(MID(D7,6,2))&gt;7,"6-12"))&amp;"用、ポリエチレン"),""))</f>
        <v/>
      </c>
      <c r="D36" s="35"/>
      <c r="E36" s="35"/>
      <c r="F36" s="36"/>
      <c r="G36" s="52" t="str" cm="1">
        <f t="array" ref="G36">IF(D7="　","",IF(MID(D7,1,2)="除去",IF(D8="防食Ⅰ","","N="&amp;1),"N="&amp;IF(MID(D7,4,1)="5",_xlfn.IFS(VALUE(MID(D7,6,2))&lt;5,0.03,VALUE(MID(D7,6,2))&lt;8,0.04,VALUE(MID(D7,6,2))&lt;13,0.06),_xlfn.IFS(VALUE(MID(D7,6,2))&lt;4,0.03,VALUE(MID(D7,6,2))&lt;6,0.04,VALUE(MID(D7,6,2))&lt;9,0.06,VALUE(MID(D7,6,2))&gt;8,0.09))&amp;"巻/本"))</f>
        <v/>
      </c>
      <c r="H36" s="64"/>
      <c r="I36" s="53"/>
      <c r="J36" s="7" t="str">
        <f>IF(MID(D7,1,2)="除去",IF(D8="防食Ⅰ","","個"),"巻")</f>
        <v/>
      </c>
      <c r="K36" s="130" t="str">
        <f>IF(D7="　","",IF(MID(D7,1,2)="除去",MID(G36,3,2),MID(G36,3,4)))</f>
        <v/>
      </c>
      <c r="L36" s="30" t="str">
        <f>IFERROR(D12*K36,"")</f>
        <v/>
      </c>
    </row>
    <row r="37" spans="2:14" ht="12" customHeight="1">
      <c r="B37" s="6" t="str">
        <f>IF(MID(D7,1,2)="除去","","結束テープ")</f>
        <v/>
      </c>
      <c r="C37" s="34" t="str">
        <f>IF(D7="　","",IF(MID(D7,1,2)="除去","",""))</f>
        <v/>
      </c>
      <c r="D37" s="35"/>
      <c r="E37" s="35"/>
      <c r="F37" s="36"/>
      <c r="G37" s="52" t="str" cm="1">
        <f t="array" ref="G37">IF(D7="　","",IF(MID(D7,1,2)="除去","","L=(自由長+緊張余長)×係数"&amp;IF(MID(D7,4,1)="5",_xlfn.IFS(VALUE(MID(D7,6,2))&lt;5,"1.0",VALUE(MID(D7,6,2))&lt;8,"1.1",VALUE(MID(D7,6,2))&lt;13,"1.2"),_xlfn.IFS(VALUE(MID(D7,6,2))&lt;4,"1.0",VALUE(MID(D7,6,2))&lt;6,"1.1",VALUE(MID(D7,6,2))&lt;9,"1.2",VALUE(MID(D7,6,2))&gt;8,"1.4"))))</f>
        <v/>
      </c>
      <c r="H37" s="64"/>
      <c r="I37" s="53"/>
      <c r="J37" s="7" t="str">
        <f>IF(MID(D7,1,2)="除去","","m")</f>
        <v/>
      </c>
      <c r="K37" s="6" t="str">
        <f>IF(D7="　","",IF(MID(D7,1,2)="除去","",MROUND(SUM(D13,D15:D16)*RIGHT(G37,3),0.1)))</f>
        <v/>
      </c>
      <c r="L37" s="30" t="str">
        <f>IFERROR(D12*K37,"")</f>
        <v/>
      </c>
    </row>
    <row r="38" spans="2:14" ht="12" customHeight="1">
      <c r="B38" s="126" t="str">
        <f>IF(MID(D7,1,2)="除去","","防錆材")</f>
        <v/>
      </c>
      <c r="C38" s="126" t="str">
        <f>IF(D7="　","",IF(MID(D7,1,2)="除去","","自由長部塗布"))</f>
        <v/>
      </c>
      <c r="D38" s="35"/>
      <c r="E38" s="35"/>
      <c r="F38" s="35"/>
      <c r="G38" s="128" t="str">
        <f>IF(MID(D7,1,2)="除去","","W=(自由長-0.5m)×鋼線本数×0.0646kg")</f>
        <v/>
      </c>
      <c r="H38" s="35"/>
      <c r="I38" s="125"/>
      <c r="J38" s="48" t="str">
        <f>IF(MID(D7,1,2)="除去","","kg")</f>
        <v/>
      </c>
      <c r="K38" s="6" t="str">
        <f>IF(D7="　","",IF(MID(D7,1,2)="除去","",MROUND((D13+D15-0.5)*MID(D7,6,2)*0.0646,0.1)))</f>
        <v/>
      </c>
      <c r="L38" s="30" t="str">
        <f>IFERROR(D12*K38,"")</f>
        <v/>
      </c>
    </row>
    <row r="39" spans="2:14" ht="12" customHeight="1">
      <c r="B39" s="6" t="str">
        <f>IF(D9="なし","",B9)</f>
        <v>土留め台座</v>
      </c>
      <c r="C39" s="34" t="str" cm="1">
        <f t="array" ref="C39">IF(D7="　","",IF(D9="なし","",_xlfn.IFS(MID(B9,1,3)="のり面",_xlfn.IFS(VALUE(MID(D7,6,2))&lt;5,"ST170",VALUE(MID(D7,6,2))&lt;8,"ST200",VALUE(MID(D7,6,2))&lt;13,"ST200")&amp;"、FCD450相当",OR(MID(B9,1,3)="構造物",MID(B9,1,3)="土留め"),D7&amp;"用"&amp;IF(OR(MID(B9,1,3)="構造物",D10="　"),"",D10&amp;"/"&amp;E10))&amp;"、防食："&amp;_xlfn.IFS(D8="防食Ⅰ","無処理",D8="防食Ⅱ","亜鉛めっき処理",D8="防食Ⅲ","ｱﾙﾐﾅｲｽﾞ処理")))</f>
        <v>除去J6-10用DB660/H350、防食：無処理</v>
      </c>
      <c r="D39" s="35"/>
      <c r="E39" s="35"/>
      <c r="F39" s="36"/>
      <c r="G39" s="52" t="str">
        <f>IF(D9="なし","","N=1")</f>
        <v>N=1</v>
      </c>
      <c r="H39" s="64"/>
      <c r="I39" s="53"/>
      <c r="J39" s="7" t="str">
        <f>IF(D9="なし","","台")</f>
        <v>台</v>
      </c>
      <c r="K39" s="130" t="str">
        <f>IF(D7="　","",MID(G39,3,2))</f>
        <v>1</v>
      </c>
      <c r="L39" s="30">
        <f>IF(K39="","",D12*K39)</f>
        <v>4</v>
      </c>
    </row>
    <row r="40" spans="2:14" ht="12" customHeight="1">
      <c r="B40" s="6" t="str">
        <f>IF(D11="なし","","フリーパッカー注入ホース")</f>
        <v/>
      </c>
      <c r="C40" s="34" t="str">
        <f>IF(D7="　","",IF(B40="","","16/20"))</f>
        <v/>
      </c>
      <c r="D40" s="35"/>
      <c r="E40" s="35"/>
      <c r="F40" s="36"/>
      <c r="G40" s="127" t="str">
        <f>IF(B40="","","L=自由長+頭部自由長+緊張余長")</f>
        <v/>
      </c>
      <c r="H40" s="64"/>
      <c r="I40" s="53"/>
      <c r="J40" s="7" t="str">
        <f>IF(D11="なし","","m")</f>
        <v/>
      </c>
      <c r="K40" s="6" t="str">
        <f>IF(D7="　","",IF(B40="","",MROUND(SUM(D13,D15:D16),0.1)))</f>
        <v/>
      </c>
      <c r="L40" s="30" t="str">
        <f>IF(K40="","",D12*K40)</f>
        <v/>
      </c>
      <c r="N40" s="13"/>
    </row>
    <row r="41" spans="2:14" ht="12" customHeight="1">
      <c r="B41" s="6" t="str">
        <f>IF(D11="なし","","フリーパッカー")</f>
        <v/>
      </c>
      <c r="C41" s="52" t="str">
        <f>IF(D7="　","",_xlfn.SINGLE(IF(B40="","",_xlfn.IFS(D19=90,"PA-170",D19=115,"PA-200",D19&lt;147,"PA-240",D19&gt;147,"PA-350"))))</f>
        <v/>
      </c>
      <c r="D41" s="35"/>
      <c r="E41" s="35"/>
      <c r="F41" s="36"/>
      <c r="G41" s="129" t="str">
        <f>IF(B41="","","L=自由長+0.5m")</f>
        <v/>
      </c>
      <c r="H41" s="80"/>
      <c r="I41" s="81"/>
      <c r="J41" s="7" t="str">
        <f>IF(D11="なし","","m")</f>
        <v/>
      </c>
      <c r="K41" s="30" t="str">
        <f>IF(D7="　","",IF(B41="","",MROUND(D13+0.5,0.1)))</f>
        <v/>
      </c>
      <c r="L41" s="30" t="str">
        <f>IF(K41="","",D12*K41)</f>
        <v/>
      </c>
    </row>
    <row r="42" spans="2:14" ht="12" customHeight="1">
      <c r="B42" s="6" t="str">
        <f>IF(D11="なし","","パッカー取付加工")</f>
        <v/>
      </c>
      <c r="C42" s="34"/>
      <c r="D42" s="35"/>
      <c r="E42" s="35"/>
      <c r="F42" s="36"/>
      <c r="G42" s="52" t="str">
        <f>IF(B42="","","N=1")</f>
        <v/>
      </c>
      <c r="H42" s="64"/>
      <c r="I42" s="53"/>
      <c r="J42" s="7" t="str">
        <f>IF(D11="なし","","式")</f>
        <v/>
      </c>
      <c r="K42" s="130" t="str">
        <f>IF(D7="　","",MID(G42,3,2))</f>
        <v/>
      </c>
      <c r="L42" s="30" t="str">
        <f>IF(K42="","",D12*K42)</f>
        <v/>
      </c>
    </row>
    <row r="43" spans="2:14" ht="12" customHeight="1">
      <c r="B43" s="9"/>
      <c r="C43" s="52"/>
      <c r="D43" s="35"/>
      <c r="E43" s="35"/>
      <c r="F43" s="36"/>
      <c r="G43" s="57"/>
      <c r="H43" s="65"/>
      <c r="I43" s="107"/>
      <c r="J43" s="10"/>
      <c r="K43" s="30"/>
      <c r="L43" s="30"/>
    </row>
    <row r="44" spans="2:14" ht="12" customHeight="1">
      <c r="B44" s="11"/>
      <c r="C44" s="42"/>
      <c r="D44" s="37"/>
      <c r="E44" s="37"/>
      <c r="F44" s="38"/>
      <c r="G44" s="58"/>
      <c r="H44" s="66"/>
      <c r="I44" s="54"/>
      <c r="J44" s="12"/>
      <c r="K44" s="11"/>
      <c r="L44" s="11"/>
    </row>
    <row r="45" spans="2:14" ht="12" customHeight="1">
      <c r="B45" s="14" t="s">
        <v>30</v>
      </c>
      <c r="C45" s="43" t="s">
        <v>31</v>
      </c>
      <c r="D45" s="40"/>
      <c r="E45" s="40"/>
      <c r="F45" s="41"/>
      <c r="G45" s="59" t="s">
        <v>56</v>
      </c>
      <c r="H45" s="67"/>
      <c r="I45" s="108"/>
      <c r="J45" s="2" t="s">
        <v>55</v>
      </c>
      <c r="K45" s="31">
        <f>IFERROR(MROUND(0.25*PI()*(0.001*D22)^2*(D13+D14+D19+D21)*(1+2.2),0.01),"")</f>
        <v>1.35</v>
      </c>
      <c r="L45" s="31">
        <f>IFERROR(D12*K45,"")</f>
        <v>5.4</v>
      </c>
    </row>
    <row r="48" spans="2:14" ht="12" customHeight="1">
      <c r="B48" s="251" t="s">
        <v>95</v>
      </c>
      <c r="C48" s="251"/>
      <c r="D48" s="251"/>
      <c r="E48" s="251"/>
    </row>
    <row r="49" spans="2:12" ht="12" customHeight="1">
      <c r="B49" s="15" t="s">
        <v>94</v>
      </c>
      <c r="C49" s="15"/>
      <c r="D49" s="1"/>
      <c r="E49" s="1"/>
      <c r="F49" s="1"/>
    </row>
    <row r="50" spans="2:12" ht="12" customHeight="1">
      <c r="B50" s="111" t="s">
        <v>100</v>
      </c>
      <c r="C50" s="3"/>
      <c r="D50" t="str">
        <f>IF(AND(MID(D53,1,2)="残置",MID(D54,3,1)&lt;&gt;"Ⅰ"),"【注意】 残置アンカーは、防食Ⅰ限定です。EHDアンカーに変更してください。","")</f>
        <v/>
      </c>
      <c r="E50" s="1"/>
      <c r="F50" s="1"/>
      <c r="G50" s="8"/>
      <c r="H50" s="8"/>
      <c r="I50" s="102"/>
      <c r="J50" s="28"/>
    </row>
    <row r="51" spans="2:12" ht="12" customHeight="1">
      <c r="B51" s="15" t="s">
        <v>40</v>
      </c>
      <c r="C51" s="3"/>
      <c r="D51" s="1"/>
      <c r="E51" s="1"/>
      <c r="F51" s="1"/>
      <c r="G51" s="15" t="s">
        <v>54</v>
      </c>
      <c r="H51" s="15"/>
      <c r="I51" s="102"/>
      <c r="J51" s="28"/>
    </row>
    <row r="52" spans="2:12" ht="12" customHeight="1">
      <c r="B52" s="2" t="s">
        <v>53</v>
      </c>
      <c r="C52" s="2" t="s">
        <v>21</v>
      </c>
      <c r="D52" s="2" t="s">
        <v>22</v>
      </c>
      <c r="E52" s="2" t="s">
        <v>84</v>
      </c>
      <c r="F52" s="17"/>
      <c r="G52" s="2" t="s">
        <v>41</v>
      </c>
      <c r="H52" s="97" t="s">
        <v>59</v>
      </c>
      <c r="I52" s="49" t="s">
        <v>44</v>
      </c>
      <c r="J52" s="2" t="s">
        <v>21</v>
      </c>
      <c r="K52" s="49" t="s">
        <v>29</v>
      </c>
      <c r="L52" s="2" t="s">
        <v>28</v>
      </c>
    </row>
    <row r="53" spans="2:12" ht="12" customHeight="1">
      <c r="B53" s="51" t="s">
        <v>37</v>
      </c>
      <c r="C53" s="50" t="s">
        <v>38</v>
      </c>
      <c r="D53" s="70" t="s">
        <v>63</v>
      </c>
      <c r="E53" s="137" t="s">
        <v>71</v>
      </c>
      <c r="F53" s="17"/>
      <c r="G53" s="86" t="str">
        <f>IF(D65=0,"",G54)</f>
        <v/>
      </c>
      <c r="H53" s="87" t="str">
        <f>IF(D65=0,"",H55&amp;" (背面管部）")</f>
        <v/>
      </c>
      <c r="I53" s="88" t="str">
        <f>IF(D65=0,"",D66)</f>
        <v/>
      </c>
      <c r="J53" s="89" t="str">
        <f>IF(D65=0,"","m")</f>
        <v/>
      </c>
      <c r="K53" s="90" t="str">
        <f>IF(D65=0,"",D65)</f>
        <v/>
      </c>
      <c r="L53" s="29" t="str">
        <f>IF(D65=0,"",D58*K53)</f>
        <v/>
      </c>
    </row>
    <row r="54" spans="2:12" ht="12" customHeight="1">
      <c r="B54" s="52" t="s">
        <v>39</v>
      </c>
      <c r="C54" s="91" t="s">
        <v>38</v>
      </c>
      <c r="D54" s="71" t="s">
        <v>82</v>
      </c>
      <c r="E54" s="7"/>
      <c r="F54" s="17"/>
      <c r="G54" s="68" t="s">
        <v>43</v>
      </c>
      <c r="H54" s="68" t="s">
        <v>72</v>
      </c>
      <c r="I54" s="88" t="str" cm="1">
        <f t="array" ref="I54">_xlfn.IFS(AND(G54&lt;&gt;"非削孔",G54&lt;&gt;"無設定"),D68,G54="非削孔",IF(MID(B55,1,3)="土留め","非削孔","箱抜き"),G54="無設定","無設定")</f>
        <v>非削孔</v>
      </c>
      <c r="J54" s="23" t="str">
        <f>IF(G54="無設定","","m")</f>
        <v>m</v>
      </c>
      <c r="K54" s="69">
        <v>0.8</v>
      </c>
      <c r="L54" s="30">
        <f>D58*K54</f>
        <v>3.2</v>
      </c>
    </row>
    <row r="55" spans="2:12" ht="12" customHeight="1">
      <c r="B55" s="115" t="s">
        <v>70</v>
      </c>
      <c r="C55" s="91" t="s">
        <v>38</v>
      </c>
      <c r="D55" s="83" t="s">
        <v>52</v>
      </c>
      <c r="E55" s="139" t="str">
        <f>IF(OR(MID(B55,1,3)&lt;&gt;"土留め",D55="なし"),"","腹起し")</f>
        <v>腹起し</v>
      </c>
      <c r="F55" s="19"/>
      <c r="G55" s="68" t="s">
        <v>92</v>
      </c>
      <c r="H55" s="68" t="s">
        <v>103</v>
      </c>
      <c r="I55" s="88" cm="1">
        <f t="array" ref="I55">_xlfn.IFS(AND(G55&lt;&gt;"非削孔",G55&lt;&gt;"無設定"),D68,G55="非削孔","箱抜き",G55="無設定","無設定")</f>
        <v>135</v>
      </c>
      <c r="J55" s="23" t="str">
        <f t="shared" ref="J55" si="1">IF(G55="無設定","","m")</f>
        <v>m</v>
      </c>
      <c r="K55" s="69">
        <v>15.5</v>
      </c>
      <c r="L55" s="30">
        <f>D58*K55</f>
        <v>62</v>
      </c>
    </row>
    <row r="56" spans="2:12" ht="12" customHeight="1">
      <c r="B56" s="114" t="str">
        <f>IF(OR(MID(B55,1,3)&lt;&gt;"土留め",D55="なし"),"",B55&amp;"の種類")</f>
        <v>土留め台座の種類</v>
      </c>
      <c r="C56" s="91" t="s">
        <v>38</v>
      </c>
      <c r="D56" s="113" t="s">
        <v>89</v>
      </c>
      <c r="E56" s="122" t="s">
        <v>67</v>
      </c>
      <c r="F56" s="21"/>
      <c r="G56" s="68" t="s">
        <v>48</v>
      </c>
      <c r="H56" s="68"/>
      <c r="I56" s="88" t="str" cm="1">
        <f t="array" ref="I56">_xlfn.IFS(AND(G56&lt;&gt;"非削孔",G56&lt;&gt;"無設定"),D68,G56="非削孔","箱抜き",G56="無設定","無設定")</f>
        <v>無設定</v>
      </c>
      <c r="J56" s="23" t="str">
        <f>IF(G56="無設定","","m")</f>
        <v/>
      </c>
      <c r="K56" s="69">
        <v>0</v>
      </c>
      <c r="L56" s="30">
        <f>D58*K56</f>
        <v>0</v>
      </c>
    </row>
    <row r="57" spans="2:12" ht="12" customHeight="1">
      <c r="B57" s="147" t="s">
        <v>50</v>
      </c>
      <c r="C57" s="91" t="s">
        <v>38</v>
      </c>
      <c r="D57" s="83" t="s">
        <v>51</v>
      </c>
      <c r="E57" s="19"/>
      <c r="F57" s="21"/>
      <c r="G57" s="68" t="s">
        <v>48</v>
      </c>
      <c r="H57" s="68"/>
      <c r="I57" s="88" t="str" cm="1">
        <f t="array" ref="I57">_xlfn.IFS(AND(G57&lt;&gt;"非削孔",G57&lt;&gt;"無設定"),D68,G57="非削孔","箱抜き",G57="無設定","無設定")</f>
        <v>無設定</v>
      </c>
      <c r="J57" s="23" t="str">
        <f t="shared" ref="J57:J63" si="2">IF(G57="無設定","","m")</f>
        <v/>
      </c>
      <c r="K57" s="69">
        <v>0</v>
      </c>
      <c r="L57" s="30">
        <f>D58*K57</f>
        <v>0</v>
      </c>
    </row>
    <row r="58" spans="2:12" ht="12" customHeight="1">
      <c r="B58" s="22" t="s">
        <v>25</v>
      </c>
      <c r="C58" s="23" t="s">
        <v>24</v>
      </c>
      <c r="D58" s="92">
        <v>4</v>
      </c>
      <c r="E58" s="21"/>
      <c r="F58" s="21"/>
      <c r="G58" s="68" t="s">
        <v>48</v>
      </c>
      <c r="H58" s="68"/>
      <c r="I58" s="88" t="str" cm="1">
        <f t="array" ref="I58">_xlfn.IFS(AND(G58&lt;&gt;"非削孔",G58&lt;&gt;"無設定"),D68,G58="非削孔","箱抜き",G58="無設定","無設定")</f>
        <v>無設定</v>
      </c>
      <c r="J58" s="23" t="str">
        <f t="shared" si="2"/>
        <v/>
      </c>
      <c r="K58" s="69">
        <v>0</v>
      </c>
      <c r="L58" s="30">
        <f>D58*K58</f>
        <v>0</v>
      </c>
    </row>
    <row r="59" spans="2:12" ht="12" customHeight="1">
      <c r="B59" s="22" t="s">
        <v>108</v>
      </c>
      <c r="C59" s="23" t="s">
        <v>23</v>
      </c>
      <c r="D59" s="47">
        <v>8.5</v>
      </c>
      <c r="E59" s="21"/>
      <c r="F59" s="21"/>
      <c r="G59" s="68" t="s">
        <v>61</v>
      </c>
      <c r="H59" s="68"/>
      <c r="I59" s="88" t="str" cm="1">
        <f t="array" ref="I59">_xlfn.IFS(AND(G59&lt;&gt;"非削孔",G59&lt;&gt;"無設定"),D68,G59="非削孔","箱抜き",G59="無設定","無設定")</f>
        <v>無設定</v>
      </c>
      <c r="J59" s="23" t="str">
        <f t="shared" si="2"/>
        <v/>
      </c>
      <c r="K59" s="69">
        <v>0</v>
      </c>
      <c r="L59" s="30">
        <f>D58*K59</f>
        <v>0</v>
      </c>
    </row>
    <row r="60" spans="2:12" ht="12" customHeight="1">
      <c r="B60" s="22" t="s">
        <v>36</v>
      </c>
      <c r="C60" s="23" t="s">
        <v>23</v>
      </c>
      <c r="D60" s="47">
        <v>7</v>
      </c>
      <c r="E60" s="21"/>
      <c r="F60" s="21"/>
      <c r="G60" s="68" t="s">
        <v>48</v>
      </c>
      <c r="H60" s="68"/>
      <c r="I60" s="88" t="str" cm="1">
        <f t="array" ref="I60">_xlfn.IFS(AND(G60&lt;&gt;"非削孔",G60&lt;&gt;"無設定"),D68,G60="非削孔","箱抜き",G60="無設定","無設定")</f>
        <v>無設定</v>
      </c>
      <c r="J60" s="23" t="str">
        <f t="shared" si="2"/>
        <v/>
      </c>
      <c r="K60" s="69">
        <v>0</v>
      </c>
      <c r="L60" s="30">
        <f>D58*K60</f>
        <v>0</v>
      </c>
    </row>
    <row r="61" spans="2:12" ht="12" customHeight="1">
      <c r="B61" s="148" t="str" cm="1">
        <f t="array" ref="B61">"頭部自由長("&amp;_xlfn.IFS(AND(MID(B55,1,3)="土留め",D55="あり"),"腹起し+台座",AND(MID(B55,1,3)="土留め",D55="なし"),"台座なし",AND(MID(B55,1,3)="構造物",D55="あり"),"壁面台座",AND(MID(B55,1,3)="構造物",D55="なし"),"台座なし",AND(MID(B55,1,3)="のり面",D55="あり"),"角度台座＋受圧体",AND(MID(B55,1,3)="のり面",D55="なし"),"受圧体")&amp;")　"&amp;"Lfh"</f>
        <v>頭部自由長(腹起し+台座)　Lfh</v>
      </c>
      <c r="C61" s="23" t="s">
        <v>23</v>
      </c>
      <c r="D61" s="47">
        <v>0.8</v>
      </c>
      <c r="E61" s="21"/>
      <c r="F61" s="21"/>
      <c r="G61" s="68" t="s">
        <v>48</v>
      </c>
      <c r="H61" s="68"/>
      <c r="I61" s="88" t="str" cm="1">
        <f t="array" ref="I61">_xlfn.IFS(AND(G61&lt;&gt;"非削孔",G61&lt;&gt;"無設定"),D68,G61="非削孔","箱抜き",G61="無設定","無設定")</f>
        <v>無設定</v>
      </c>
      <c r="J61" s="23" t="str">
        <f t="shared" si="2"/>
        <v/>
      </c>
      <c r="K61" s="69">
        <v>0</v>
      </c>
      <c r="L61" s="30">
        <f>D58*K61</f>
        <v>0</v>
      </c>
    </row>
    <row r="62" spans="2:12" ht="12" customHeight="1">
      <c r="B62" s="146" t="s">
        <v>69</v>
      </c>
      <c r="C62" s="23" t="s">
        <v>23</v>
      </c>
      <c r="D62" s="24">
        <f>IF(D53="　","──",IF(MID(D53,6,2)*IF(MID(D53,4,1)="5",183,261)*IF(MID(D54,3,1)="Ⅰ",0.65,0.6)*IF(MID(D53,1,2)="除去",0.9,1)&lt;=700,1,1.5))</f>
        <v>1</v>
      </c>
      <c r="E62" s="120"/>
      <c r="G62" s="68" t="s">
        <v>48</v>
      </c>
      <c r="H62" s="68"/>
      <c r="I62" s="88" t="str" cm="1">
        <f t="array" ref="I62">_xlfn.IFS(AND(G62&lt;&gt;"非削孔",G62&lt;&gt;"無設定"),D68,G62="非削孔","箱抜き",G62="無設定","無設定")</f>
        <v>無設定</v>
      </c>
      <c r="J62" s="23" t="str">
        <f t="shared" si="2"/>
        <v/>
      </c>
      <c r="K62" s="69">
        <v>0</v>
      </c>
      <c r="L62" s="30">
        <f>D58*K62</f>
        <v>0</v>
      </c>
    </row>
    <row r="63" spans="2:12" ht="12" customHeight="1">
      <c r="B63" s="6" t="s">
        <v>109</v>
      </c>
      <c r="C63" s="23" t="s">
        <v>23</v>
      </c>
      <c r="D63" s="60">
        <f>IF(D53="　","──",SUM(D59:D62))</f>
        <v>17.3</v>
      </c>
      <c r="E63" s="121"/>
      <c r="F63" s="19"/>
      <c r="G63" s="99" t="str" cm="1">
        <f t="array" ref="G63">INDEX(G54:I62,MATCH("無設定",G54:G62,0)-1,MATCH(G52,G52:I52,0))</f>
        <v>砂質土</v>
      </c>
      <c r="H63" s="100" t="str" cm="1">
        <f t="array" ref="H63">INDEX(G54:I62,MATCH("無設定",G54:G62,0)-1,MATCH(H52,G52:I52,0))&amp;"　(先端削孔長)"</f>
        <v>沖積層～洪積層　(先端削孔長)</v>
      </c>
      <c r="I63" s="88" cm="1">
        <f t="array" ref="I63">INDEX(G54:I62,MATCH("無設定",G54:G62,0)-1,MATCH(I52,G52:I52,0))</f>
        <v>135</v>
      </c>
      <c r="J63" s="23" t="str">
        <f t="shared" si="2"/>
        <v>m</v>
      </c>
      <c r="K63" s="98">
        <f>D67</f>
        <v>0.2</v>
      </c>
      <c r="L63" s="78">
        <f>IFERROR(D58*K63,"")</f>
        <v>0.8</v>
      </c>
    </row>
    <row r="64" spans="2:12" ht="12" customHeight="1">
      <c r="B64" s="22" t="s">
        <v>75</v>
      </c>
      <c r="C64" s="23" t="s">
        <v>35</v>
      </c>
      <c r="D64" s="84">
        <f>IF(D53="　","──",IF(MID(D53,1,2)="除去",0,0.2))</f>
        <v>0</v>
      </c>
      <c r="E64" s="123"/>
      <c r="F64" s="19"/>
      <c r="G64" s="72"/>
      <c r="H64" s="75" t="s">
        <v>45</v>
      </c>
      <c r="I64" s="103"/>
      <c r="J64" s="18" t="s">
        <v>23</v>
      </c>
      <c r="K64" s="74">
        <f>SUMIFS(K53:K63,G53:G63,"&lt;&gt;非削孔",G53:G63,"&lt;&gt;無設定")</f>
        <v>15.7</v>
      </c>
      <c r="L64" s="95">
        <f>SUMIFS(L53:L63,G53:G63,"&lt;&gt;非削孔",G53:G63,"&lt;&gt;無設定")</f>
        <v>62.8</v>
      </c>
    </row>
    <row r="65" spans="2:12" ht="12" customHeight="1">
      <c r="B65" s="22" t="s">
        <v>73</v>
      </c>
      <c r="C65" s="23" t="s">
        <v>35</v>
      </c>
      <c r="D65" s="85">
        <v>0</v>
      </c>
      <c r="E65" s="123"/>
      <c r="F65" s="19"/>
      <c r="G65" s="73"/>
      <c r="H65" s="76" t="s">
        <v>47</v>
      </c>
      <c r="I65" s="104"/>
      <c r="J65" s="79" t="s">
        <v>46</v>
      </c>
      <c r="K65" s="77" t="str">
        <f>IF(D53="　","",IF(SUM(D59:D61,D65,D67)=K64+SUMIFS(K53:K63,G53:G63,"=非削孔"),"OK","NG"))</f>
        <v>OK</v>
      </c>
      <c r="L65" s="145" t="str">
        <f>IF(K65&lt;&gt;"NG","──",K64+SUMIFS(K53:K63,G53:G63,"=非削孔")-SUM(D59:D61,D65,D67))</f>
        <v>──</v>
      </c>
    </row>
    <row r="66" spans="2:12" ht="12" customHeight="1">
      <c r="B66" s="22" t="str">
        <f>IF(D53="　","",IF(D65=0,"","頭部背面管削孔径　Dh"))</f>
        <v/>
      </c>
      <c r="C66" s="23" t="str">
        <f>IF(D53="　","",IF(D65=0,"","mm"))</f>
        <v/>
      </c>
      <c r="D66" s="93" t="str" cm="1">
        <f t="array" ref="D66">IF(D53="　","",IF(D65=0,"",IF(MID(D53,4,1)="5",_xlfn.IFS(VALUE(MID(D53,6,2))&lt;7,115,VALUE(MID(D53,6,2))&gt;6,135),"未設定")))</f>
        <v/>
      </c>
      <c r="E66" s="121"/>
      <c r="F66" s="19"/>
      <c r="G66" s="94" t="s">
        <v>58</v>
      </c>
      <c r="H66" s="252" t="s">
        <v>62</v>
      </c>
      <c r="I66" s="253"/>
      <c r="J66" s="253"/>
      <c r="K66" s="253"/>
      <c r="L66" s="254"/>
    </row>
    <row r="67" spans="2:12" ht="12" customHeight="1">
      <c r="B67" s="25" t="s">
        <v>74</v>
      </c>
      <c r="C67" s="26" t="s">
        <v>23</v>
      </c>
      <c r="D67" s="27">
        <f>IF(MID(D53,1,2)="残置",0.25,0.2)</f>
        <v>0.2</v>
      </c>
      <c r="E67" s="117"/>
      <c r="F67" s="1"/>
      <c r="G67" s="8"/>
      <c r="H67" s="8"/>
      <c r="I67" s="102"/>
    </row>
    <row r="68" spans="2:12" ht="12" customHeight="1">
      <c r="B68" s="25" t="s">
        <v>57</v>
      </c>
      <c r="C68" s="26" t="s">
        <v>32</v>
      </c>
      <c r="D68" s="82" cm="1">
        <f t="array" ref="D68">IF(D53="　","──",IF(E68="　",_xlfn.IFS(MID(D53,1,2)="除去",IF(MID(D53,4,1)="5",135,165),MID(D53,1,2)="残置",IF(MID(D53,4,1)="5",IF(VALUE(MID(D53,6,2))&lt;8,115,135),IF(VALUE(MID(D53,6,2))&lt;10,146,165))),E68))</f>
        <v>135</v>
      </c>
      <c r="E68" s="142" t="s">
        <v>71</v>
      </c>
      <c r="F68" s="1"/>
      <c r="G68" s="8"/>
      <c r="H68" s="8"/>
      <c r="I68" s="102"/>
    </row>
    <row r="69" spans="2:12" ht="12" customHeight="1">
      <c r="F69" s="1"/>
      <c r="G69" s="8"/>
      <c r="H69" s="8"/>
      <c r="I69" s="102"/>
    </row>
    <row r="70" spans="2:12" ht="12" customHeight="1">
      <c r="B70" s="15" t="str">
        <f>"■"&amp;MID(B48,2,17)</f>
        <v>■短期仮設：KJS除去アンカー数量表</v>
      </c>
      <c r="C70" s="3"/>
      <c r="D70" s="1"/>
      <c r="E70" s="1"/>
      <c r="F70" s="1"/>
      <c r="G70" s="8"/>
      <c r="H70" s="8"/>
      <c r="I70" s="102"/>
    </row>
    <row r="71" spans="2:12" ht="12" customHeight="1">
      <c r="B71" s="2" t="s">
        <v>17</v>
      </c>
      <c r="C71" s="43"/>
      <c r="D71" s="134"/>
      <c r="E71" s="61" t="s">
        <v>78</v>
      </c>
      <c r="F71" s="135"/>
      <c r="G71" s="16"/>
      <c r="H71" s="61" t="s">
        <v>42</v>
      </c>
      <c r="I71" s="97"/>
      <c r="J71" s="2" t="s">
        <v>21</v>
      </c>
      <c r="K71" s="49" t="s">
        <v>29</v>
      </c>
      <c r="L71" s="2" t="s">
        <v>28</v>
      </c>
    </row>
    <row r="72" spans="2:12" ht="12" customHeight="1">
      <c r="B72" s="4" t="str">
        <f>IF(MID(D53,1,2)="除去","アンボンド","")&amp;"PCストランド"</f>
        <v>アンボンドPCストランド</v>
      </c>
      <c r="C72" s="39" t="str">
        <f>IF(D53="　","",D53&amp;"("&amp;MID(D53,6,2)&amp;IF(MID(D53,4,1)="5","φ12.7","φ15.2")&amp;")")</f>
        <v>除去J5-6(6φ12.7)</v>
      </c>
      <c r="D72" s="32"/>
      <c r="E72" s="32"/>
      <c r="F72" s="33"/>
      <c r="G72" s="143" t="str">
        <f>"W="&amp;IF(MID(D53,1,2)="除去","(ﾃﾝﾄﾞﾝ長+ｱﾝｶｰ体長×(1/鋼線本数-0.5))","(テンドン長+先端長0.2m)")&amp;"×鋼線本数×"&amp;IF(MID(D53,4,1)="5","0.774","1.101")&amp;"kg/m"</f>
        <v>W=(ﾃﾝﾄﾞﾝ長+ｱﾝｶｰ体長×(1/鋼線本数-0.5))×鋼線本数×0.774kg/m</v>
      </c>
      <c r="H72" s="62"/>
      <c r="I72" s="105"/>
      <c r="J72" s="5" t="s">
        <v>11</v>
      </c>
      <c r="K72" s="29">
        <f>IF(D53="　","",MROUND(IF(MID(D53,1,2)="除去",D63+D60*(1/MID(D53,6,2)-0.5),D63+D64)*MID(D53,6,2)*IF(MID(D53,4,1)="5","0.774","1.101"),0.01))</f>
        <v>69.510000000000005</v>
      </c>
      <c r="L72" s="29">
        <f>IFERROR(D58*K72,"")</f>
        <v>278.04000000000002</v>
      </c>
    </row>
    <row r="73" spans="2:12" ht="12" customHeight="1">
      <c r="B73" s="6" t="s">
        <v>20</v>
      </c>
      <c r="C73" s="34"/>
      <c r="D73" s="35"/>
      <c r="E73" s="35"/>
      <c r="F73" s="36"/>
      <c r="G73" s="56" t="str">
        <f>"L=テンドン長"&amp;IF(MID(D53,1,2)="除去","+アンカー体長×(1/鋼線本数-0.5))","")</f>
        <v>L=テンドン長+アンカー体長×(1/鋼線本数-0.5))</v>
      </c>
      <c r="H73" s="63"/>
      <c r="I73" s="106"/>
      <c r="J73" s="7" t="s">
        <v>12</v>
      </c>
      <c r="K73" s="30">
        <f>IF(D53="　","",MROUND(D63+IF(MID(D53,1,2)="除去",D60*(1/MID(D53,6,2)-0.5),0),0.1))</f>
        <v>15</v>
      </c>
      <c r="L73" s="30">
        <f>IFERROR(D58*K73,"")</f>
        <v>60</v>
      </c>
    </row>
    <row r="74" spans="2:12" ht="12" customHeight="1">
      <c r="B74" s="6" t="str">
        <f>IF(MID(D53,1,2)="除去","耐荷体","注入ホース")</f>
        <v>耐荷体</v>
      </c>
      <c r="C74" s="34" t="str" cm="1">
        <f t="array" ref="C74">IF(D53="　","",IF(MID(D53,1,2)="除去",IF(MID(D53,1,2)="除去",MID(D53,3,2)&amp;"用Bタイプ、FCD450相当"&amp;_xlfn.IFS(MID(D54,3,1)="Ⅰ","",MID(D54,3,1)="Ⅱ","、亜鉛めっき処理",MID(D54,3,1)="Ⅲ","、ｱﾙﾐﾅｲｽﾞ処理"),""),"1/2″"))</f>
        <v>J5用Bタイプ、FCD450相当</v>
      </c>
      <c r="D74" s="35"/>
      <c r="E74" s="35"/>
      <c r="F74" s="36"/>
      <c r="G74" s="127" t="str">
        <f>IF(MID(D53,1,2)="除去","N="&amp;0.5*MID(D53,6,2),"L=テンドン長")</f>
        <v>N=3</v>
      </c>
      <c r="H74" s="63"/>
      <c r="I74" s="106"/>
      <c r="J74" s="7" t="str">
        <f>IF(MID(D53,1,2)="除去","個","m")</f>
        <v>個</v>
      </c>
      <c r="K74" s="130" t="str">
        <f>IF(D53="　","",IF(MID(D53,1,2)="除去",MID(G74,3,2),MROUND(D63,0.1)))</f>
        <v>3</v>
      </c>
      <c r="L74" s="30">
        <f>IFERROR(D58*K74,"")</f>
        <v>12</v>
      </c>
    </row>
    <row r="75" spans="2:12" ht="12" customHeight="1">
      <c r="B75" s="109" t="str">
        <f>IF(MID(D53,1,2)="除去","結束テープ","パイロットキャップ")</f>
        <v>結束テープ</v>
      </c>
      <c r="C75" s="34" t="str" cm="1">
        <f t="array" ref="C75">IF(D53="　","",IF(MID(D53,1,2)="除去","","Ｊ"&amp;IF(MID(D53,4,1)="5",_xlfn.IFS(VALUE(MID(D53,6,2))&lt;5,"5-4",VALUE(MID(D53,6,2))&lt;8,"5-7",VALUE(MID(D53,6,2))&lt;10,"5-9",VALUE(MID(D53,6,2))&gt;9,"5-12"),_xlfn.IFS(VALUE(MID(D53,6,2))&lt;10,"6-9",VALUE(MID(D53,6,2))&lt;13,"6-12",VALUE(MID(D53,6,2))&gt;12,"6-19"))&amp;"用、"&amp;IF(AND(MID(D53,4,1)="6",VALUE(MID(D53,6,2))&gt;9),"AC2A","ポリプロピレン")))</f>
        <v/>
      </c>
      <c r="D75" s="35"/>
      <c r="E75" s="35"/>
      <c r="F75" s="36"/>
      <c r="G75" s="52" t="str">
        <f>IF(MID(D53,1,2)="除去","L=(自由長+頭部自由長+緊張余長)÷2.0mピッチ","N=1")</f>
        <v>L=(自由長+頭部自由長+緊張余長)÷2.0mピッチ</v>
      </c>
      <c r="H75" s="110"/>
      <c r="I75" s="53"/>
      <c r="J75" s="7" t="str">
        <f>IF(MID(D53,1,2)="除去","m","個")</f>
        <v>m</v>
      </c>
      <c r="K75" s="130">
        <f>IF(D53="　","",IF(MID(D53,1,2)="除去",MROUND(SUM(D59,D61:D62)/2,0.01),MID(G75,3,2)))</f>
        <v>5.15</v>
      </c>
      <c r="L75" s="30">
        <f>IFERROR(D58*K75,"")</f>
        <v>20.6</v>
      </c>
    </row>
    <row r="76" spans="2:12" ht="12" customHeight="1">
      <c r="B76" s="109" t="str">
        <f>IF(MID(D53,1,2)="除去",IF(D54="防食Ⅰ","アンカープレート","溝付アンカープレート"),"スペーサ")</f>
        <v>アンカープレート</v>
      </c>
      <c r="C76" s="96" t="str" cm="1">
        <f t="array" ref="C76">IF(D53="　","",_xlfn.SINGLE(IF(MID(D53,1,2)="除去","J"&amp;_xlfn.SINGLE(IF(MID(D53,4,1)="5",_xlfn.IFS(VALUE(MID(D53,6,2))&lt;3,"5-2",VALUE(MID(D53,6,2))&lt;5,"5-4",VALUE(MID(D53,6,2))&lt;7,"5-7",VALUE(MID(D53,6,2))&lt;10,"5-9",VALUE(MID(D53,6,2))&gt;9,"5-12"),_xlfn.IFS(VALUE(MID(D53,6,2))&lt;13,"6-12")))&amp;"用、"&amp;IF(D54="防食Ⅰ","SS400相当","SS400・STKM13A相当、防食：")&amp;_xlfn.IFS(D54="防食Ⅰ","無処理",D54="防食Ⅱ","亜鉛めっき処理",D54="防食Ⅲ","ｱﾙﾐﾅｲｽﾞ処理"),"J"&amp;IF(MID(D53,4,1)="5",_xlfn.IFS(VALUE(MID(D53,6,2))&lt;8,"5-7",VALUE(MID(D53,6,2))&gt;7,"5-12"),_xlfn.IFS(VALUE(MID(D53,6,2))&lt;8,"6-7",VALUE(MID(D53,6,2))&lt;13,"6-12",VALUE(MID(D53,6,2))&gt;12,"6-19"))&amp;"用、"&amp;IF(AND(MID(D53,4,1)="6",VALUE(MID(D53,6,2))&gt;9),"AC2B","ポリプロピレン"))))</f>
        <v>J5-7用、SS400相当無処理</v>
      </c>
      <c r="D76" s="35"/>
      <c r="E76" s="35"/>
      <c r="F76" s="36"/>
      <c r="G76" s="127" t="str">
        <f>IF(MID(D53,1,2)="除去","N=1","N=アンカー体÷1.0mピッチ")</f>
        <v>N=1</v>
      </c>
      <c r="H76" s="63"/>
      <c r="I76" s="106"/>
      <c r="J76" s="7" t="str">
        <f>IF(MID(D53,1,2)="除去","枚","m")</f>
        <v>枚</v>
      </c>
      <c r="K76" s="130" t="str">
        <f>IF(D53="　","",IF(D53="　","",IF(MID(D53,1,2)="除去",MID(G76,3,2),MROUND(D60/1,1))))</f>
        <v>1</v>
      </c>
      <c r="L76" s="30">
        <f>IFERROR(D58*K76,"")</f>
        <v>4</v>
      </c>
    </row>
    <row r="77" spans="2:12" ht="12" customHeight="1">
      <c r="B77" s="109" t="str">
        <f>IF(MID(D53,1,2)="除去","アンカーヘッド","結束バンド")</f>
        <v>アンカーヘッド</v>
      </c>
      <c r="C77" s="34" t="str">
        <f>IF(D53="　","",IF(MID(D53,1,2)="除去","J"&amp;IF(MID(D53,4,1)="5",_xlfn.IFS(VALUE(MID(D53,6,2))&lt;3,"5-2",VALUE(MID(D53,6,2))&lt;4,"5-3",VALUE(MID(D53,6,2))&lt;5,"5-4",VALUE(MID(D53,6,2))&lt;8,"5-7",VALUE(MID(D53,6,2))&lt;10,"5-9",VALUE(MID(D53,6,2))&gt;9,"5-12"),_xlfn.IFS(VALUE(MID(D53,6,2))&lt;8,"6-7",VALUE(MID(D53,6,2))&gt;7,"6-12"))&amp;"用、S45C相当","AB350、66ナイロン"))</f>
        <v>J5-7用、S45C相当</v>
      </c>
      <c r="D77" s="35"/>
      <c r="E77" s="35"/>
      <c r="F77" s="36"/>
      <c r="G77" s="127" t="str">
        <f>IF(MID(D53,1,2)="除去","N=1","N=スペーサ数×2")</f>
        <v>N=1</v>
      </c>
      <c r="H77" s="63"/>
      <c r="I77" s="106"/>
      <c r="J77" s="7" t="str">
        <f>IF(MID(D53,1,2)="除去","個","本")</f>
        <v>個</v>
      </c>
      <c r="K77" s="130" t="str">
        <f>IF(D53="　","",IF(MID(D53,1,2)="除去",MID(G77,3,2),2*K76))</f>
        <v>1</v>
      </c>
      <c r="L77" s="30">
        <f>IFERROR(D58*K77,"")</f>
        <v>4</v>
      </c>
    </row>
    <row r="78" spans="2:12" ht="12" customHeight="1">
      <c r="B78" s="6" t="str">
        <f>IF(MID(D53,1,2)="除去","くさび","ポリホース")</f>
        <v>くさび</v>
      </c>
      <c r="C78" s="34" t="str">
        <f>IF(D53="　","",IF(MID(D53,1,2)="除去",MID(D53,3,5)&amp;"用、"&amp;IF(MID(D53,4,1)="5","φ12.7","φ15.2")&amp;"、SCM415相当","1-1/2″"))</f>
        <v>J5-6用、φ12.7、SCM415相当</v>
      </c>
      <c r="D78" s="35"/>
      <c r="E78" s="35"/>
      <c r="F78" s="36"/>
      <c r="G78" s="127" t="str">
        <f>IF(MID(D53,1,2)="除去","N="&amp;MID(D53,6,2),"L=自由長-0.5m")</f>
        <v>N=6</v>
      </c>
      <c r="H78" s="63"/>
      <c r="I78" s="106"/>
      <c r="J78" s="7" t="str">
        <f>IF(MID(D53,1,2)="除去","組","m")</f>
        <v>組</v>
      </c>
      <c r="K78" s="130" t="str">
        <f>IF(D53="　","",IF(MID(D53,1,2)="除去",MID(G78,3,2),D59+D61-0.5))</f>
        <v>6</v>
      </c>
      <c r="L78" s="30">
        <f>IFERROR(D58*K78,"")</f>
        <v>24</v>
      </c>
    </row>
    <row r="79" spans="2:12" ht="12" customHeight="1">
      <c r="B79" s="6" t="str">
        <f>IF(MID(D53,1,2)="除去",IF(D54="防食Ⅰ","","ヘッドキャップ"),"アンカープレート")</f>
        <v/>
      </c>
      <c r="C79" s="96" t="str" cm="1">
        <f t="array" ref="C79">IF(D53="　","",IF(MID(D53,1,2)="除去",IF(D54="防食Ⅰ","","J"&amp;_xlfn.SINGLE(IF(MID(D53,4,1)="5",_xlfn.IFS(VALUE(MID(D53,6,2))&lt;5,"5-4",VALUE(MID(D53,6,2))&lt;8,"5-7",VALUE(MID(D53,6,2))&gt;7,"5-12"),"未設定"))&amp;"RN用、AC4C相当"&amp;IF(D54="防食Ⅱ","","、防食：タケコート処理")),"J"&amp;_xlfn.SINGLE(IF(MID(D53,4,1)="5",_xlfn.IFS(VALUE(MID(D53,6,2))&lt;3,"5-2",VALUE(MID(D53,6,2))&lt;5,"5-4",VALUE(MID(D53,6,2))&lt;7,"5-7",VALUE(MID(D53,6,2))&lt;10,"5-9",VALUE(MID(D53,6,2))&gt;9,"5-12"),_xlfn.IFS(VALUE(MID(D53,6,2))&lt;13,"6-12")))&amp;"用、"&amp;IF(D54="防食Ⅰ","SS400相当","SS400・STKM13A相当、防食：")&amp;_xlfn.IFS(D54="防食Ⅰ","、防食：無処理",D54="防食Ⅱ","、防食：亜鉛めっき",D54="防食Ⅲ","、防食：ｱﾙﾐﾅｲｽﾞ")))</f>
        <v/>
      </c>
      <c r="D79" s="44"/>
      <c r="E79" s="44"/>
      <c r="F79" s="45"/>
      <c r="G79" s="52" t="str">
        <f>IF(MID(D53,1,2)="除去",IF(D54="防食Ⅰ","","N=1"),"N=1")</f>
        <v/>
      </c>
      <c r="H79" s="64"/>
      <c r="I79" s="53"/>
      <c r="J79" s="7" t="str">
        <f>IF(MID(D53,1,2)="除去",IF(D54="防食Ⅰ","","個"),"枚")</f>
        <v/>
      </c>
      <c r="K79" s="130" t="str">
        <f>IF(D53="　","",IF(MID(D53,1,2)="除去",MID(G79,3,2),MID(G79,3,2)))</f>
        <v/>
      </c>
      <c r="L79" s="30" t="str">
        <f>IFERROR(D58*K79,"")</f>
        <v/>
      </c>
    </row>
    <row r="80" spans="2:12" ht="12" customHeight="1">
      <c r="B80" s="6" t="str">
        <f>IF(MID(D53,1,2)="除去",IF(D54="防食Ⅰ","","頭部防錆油"),"アンカーヘッド")</f>
        <v/>
      </c>
      <c r="C80" s="34" t="str">
        <f>IF(D53="　","",IF(MID(D53,1,2)="除去",IF(D54="防食Ⅰ","","PCコートC"),"J"&amp;IF(MID(D53,4,1)="5",_xlfn.IFS(VALUE(MID(D53,6,2))&lt;3,"5-2",VALUE(MID(D53,6,2))&lt;4,"5-3",VALUE(MID(D53,6,2))&lt;5,"5-4",VALUE(MID(D53,6,2))&lt;8,"5-7",VALUE(MID(D53,6,2))&lt;10,"5-9",VALUE(MID(D53,6,2))&gt;9,"5-12"),_xlfn.IFS(VALUE(MID(D53,6,2))&lt;8,"6-7",VALUE(MID(D53,6,2))&gt;7,"6-12"))&amp;"用、S45C相当"))</f>
        <v/>
      </c>
      <c r="D80" s="35"/>
      <c r="E80" s="35"/>
      <c r="F80" s="36"/>
      <c r="G80" s="52" t="str" cm="1">
        <f t="array" ref="G80">IF(MID(D53,1,2)="除去",_xlfn.SINGLE(IF(D54="防食Ⅰ","","W="&amp;IF(MID(D53,4,1)="5",_xlfn.IFS(VALUE(MID(D53,6,2))&lt;4,1.8,VALUE(MID(D53,6,2))&lt;5,2,VALUE(MID(D53,6,2))&lt;8,2.7,VALUE(MID(D53,6,2))&gt;7,5),_xlfn.IFS(VALUE(MID(D53,6,2))=1,1.8,VALUE(MID(D53,6,2))&lt;3,2,VALUE(MID(D53,6,2))&lt;5,2.7,VALUE(MID(D53,6,2))&lt;8,5,VALUE(MID(D53,6,2))&gt;7,12.3)))),"N=1")</f>
        <v/>
      </c>
      <c r="H80" s="64"/>
      <c r="I80" s="53"/>
      <c r="J80" s="7" t="str">
        <f>IF(MID(D53,1,2)="除去",IF(D54="防食Ⅰ","","kg"),"個")</f>
        <v/>
      </c>
      <c r="K80" s="130" t="str">
        <f>IF(D53="　","",IF(MID(D53,1,2)="除去",MID(G80,3,4),MID(G80,3,2)))</f>
        <v/>
      </c>
      <c r="L80" s="30" t="str">
        <f>IFERROR(D58*K80,"")</f>
        <v/>
      </c>
    </row>
    <row r="81" spans="2:12" ht="12" customHeight="1">
      <c r="B81" s="6" t="str">
        <f>IF(MID(D53,1,2)="除去",IF(D54="防食Ⅰ","","止水具スペーサ"),"くさび")</f>
        <v/>
      </c>
      <c r="C81" s="34" t="str">
        <f>IF(D53="　","",IF(MID(D53,1,2)="除去",IF(D54="防食Ⅰ","",MID(D53,3,5)&amp;"用、NBR45相当"),MID(D53,3,5)&amp;"用、"&amp;IF(MID(D53,4,1)="5","φ12.7","φ15.2")&amp;"、SCM415相当"))</f>
        <v/>
      </c>
      <c r="D81" s="35"/>
      <c r="E81" s="35"/>
      <c r="F81" s="36"/>
      <c r="G81" s="52" t="str">
        <f>IF(D53="　","",IF(MID(D53,1,2)="除去",IF(D54="防食Ⅰ","","N="&amp;1),"N="&amp;MID(D53,6,2)))</f>
        <v/>
      </c>
      <c r="H81" s="64"/>
      <c r="I81" s="53"/>
      <c r="J81" s="7" t="str">
        <f>IF(MID(D53,1,2)="除去",IF(D54="防食Ⅰ","","個"),"組")</f>
        <v/>
      </c>
      <c r="K81" s="130" t="str">
        <f>IF(D53="　","",IF(MID(D53,1,2)="除去",MID(G81,3,2),MID(G81,3,2)))</f>
        <v/>
      </c>
      <c r="L81" s="30" t="str">
        <f>IFERROR(D58*K81,"")</f>
        <v/>
      </c>
    </row>
    <row r="82" spans="2:12" ht="12" customHeight="1">
      <c r="B82" s="6" t="str">
        <f>IF(MID(D53,1,2)="除去",IF(D54="防食Ⅰ","","配列スペーサ"),"サンタックシーラー")</f>
        <v/>
      </c>
      <c r="C82" s="34" t="str">
        <f>IF(D53="　","",IF(MID(D53,1,2)="除去",IF(D54="防食Ⅰ","","J"&amp;IF(MID(D53,4,1)="5",_xlfn.IFS(VALUE(MID(D53,6,2))=3,"5-3",VALUE(MID(D53,6,2))&lt;5,"5-4",VALUE(MID(D53,6,2))&lt;8,"5-7",VALUE(MID(D53,6,2))&gt;7,"5-12"),_xlfn.IFS(VALUE(MID(D53,6,2))=3,"6-3",VALUE(MID(D53,6,2))&lt;5,"6-4",VALUE(MID(D53,6,2))&lt;8,"6-7",VALUE(MID(D53,6,2))&gt;7,"6-12"))&amp;"用、ポリエチレン"),""))</f>
        <v/>
      </c>
      <c r="D82" s="35"/>
      <c r="E82" s="35"/>
      <c r="F82" s="36"/>
      <c r="G82" s="52" t="str" cm="1">
        <f t="array" ref="G82">IF(D53="　","",IF(MID(D53,1,2)="除去",IF(D54="防食Ⅰ","","N="&amp;1),"N="&amp;IF(MID(D53,4,1)="5",_xlfn.IFS(VALUE(MID(D53,6,2))&lt;5,0.03,VALUE(MID(D53,6,2))&lt;8,0.04,VALUE(MID(D53,6,2))&lt;13,0.06),_xlfn.IFS(VALUE(MID(D53,6,2))&lt;4,0.03,VALUE(MID(D53,6,2))&lt;6,0.04,VALUE(MID(D53,6,2))&lt;9,0.06,VALUE(MID(D53,6,2))&gt;8,0.09))&amp;"巻/本"))</f>
        <v/>
      </c>
      <c r="H82" s="64"/>
      <c r="I82" s="53"/>
      <c r="J82" s="7" t="str">
        <f>IF(MID(D53,1,2)="除去",IF(D54="防食Ⅰ","","個"),"巻")</f>
        <v/>
      </c>
      <c r="K82" s="130" t="str">
        <f>IF(D53="　","",IF(MID(D53,1,2)="除去",MID(G82,3,2),MID(G82,3,4)))</f>
        <v/>
      </c>
      <c r="L82" s="30" t="str">
        <f>IFERROR(D58*K82,"")</f>
        <v/>
      </c>
    </row>
    <row r="83" spans="2:12" ht="12" customHeight="1">
      <c r="B83" s="6" t="str">
        <f>IF(MID(D53,1,2)="除去","","結束テープ")</f>
        <v/>
      </c>
      <c r="C83" s="34" t="str">
        <f>IF(D53="　","",IF(MID(D53,1,2)="除去","",""))</f>
        <v/>
      </c>
      <c r="D83" s="35"/>
      <c r="E83" s="35"/>
      <c r="F83" s="36"/>
      <c r="G83" s="52" t="str" cm="1">
        <f t="array" ref="G83">IF(D53="　","",IF(MID(D53,1,2)="除去","","L=(自由長+緊張余長)×係数"&amp;IF(MID(D53,4,1)="5",_xlfn.IFS(VALUE(MID(D53,6,2))&lt;5,"1.0",VALUE(MID(D53,6,2))&lt;8,"1.1",VALUE(MID(D53,6,2))&lt;13,"1.2"),_xlfn.IFS(VALUE(MID(D53,6,2))&lt;4,"1.0",VALUE(MID(D53,6,2))&lt;6,"1.1",VALUE(MID(D53,6,2))&lt;9,"1.2",VALUE(MID(D53,6,2))&gt;8,"1.4"))))</f>
        <v/>
      </c>
      <c r="H83" s="64"/>
      <c r="I83" s="53"/>
      <c r="J83" s="7" t="str">
        <f>IF(MID(D53,1,2)="除去","","m")</f>
        <v/>
      </c>
      <c r="K83" s="6" t="str">
        <f>IF(D53="　","",IF(MID(D53,1,2)="除去","",MROUND(SUM(D59,D61:D62)*RIGHT(G83,3),0.1)))</f>
        <v/>
      </c>
      <c r="L83" s="30" t="str">
        <f>IFERROR(D58*K83,"")</f>
        <v/>
      </c>
    </row>
    <row r="84" spans="2:12" ht="12" customHeight="1">
      <c r="B84" s="126" t="str">
        <f>IF(MID(D53,1,2)="除去","","防錆材")</f>
        <v/>
      </c>
      <c r="C84" s="126" t="str">
        <f>IF(D53="　","",IF(MID(D53,1,2)="除去","","自由長部塗布"))</f>
        <v/>
      </c>
      <c r="D84" s="35"/>
      <c r="E84" s="35"/>
      <c r="F84" s="35"/>
      <c r="G84" s="128" t="str">
        <f>IF(MID(D53,1,2)="除去","","W=(自由長-0.5m)×鋼線本数×0.0646kg")</f>
        <v/>
      </c>
      <c r="H84" s="35"/>
      <c r="I84" s="125"/>
      <c r="J84" s="48" t="str">
        <f>IF(MID(D53,1,2)="除去","","kg")</f>
        <v/>
      </c>
      <c r="K84" s="6" t="str">
        <f>IF(D53="　","",IF(MID(D53,1,2)="除去","",MROUND((D59+D61-0.5)*MID(D53,6,2)*0.0646,0.1)))</f>
        <v/>
      </c>
      <c r="L84" s="30" t="str">
        <f>IFERROR(D58*K84,"")</f>
        <v/>
      </c>
    </row>
    <row r="85" spans="2:12" ht="12" customHeight="1">
      <c r="B85" s="6" t="str">
        <f>IF(D55="なし","",B55)</f>
        <v>土留め台座</v>
      </c>
      <c r="C85" s="34" t="str" cm="1">
        <f t="array" ref="C85">IF(D53="　","",IF(D55="なし","",_xlfn.IFS(MID(B55,1,3)="のり面",_xlfn.IFS(VALUE(MID(D53,6,2))&lt;5,"ST170",VALUE(MID(D53,6,2))&lt;8,"ST200",VALUE(MID(D53,6,2))&lt;13,"ST200")&amp;"、FCD450相当",OR(MID(B55,1,3)="構造物",MID(B55,1,3)="土留め"),D53&amp;"用"&amp;IF(OR(MID(B55,1,3)="構造物",D56="　"),"",D56&amp;"/"&amp;E56))&amp;"、防食："&amp;_xlfn.IFS(D54="防食Ⅰ","無処理",D54="防食Ⅱ","亜鉛めっき処理",D54="防食Ⅲ","ｱﾙﾐﾅｲｽﾞ処理")))</f>
        <v>除去J5-6用DB660/H350、防食：無処理</v>
      </c>
      <c r="D85" s="35"/>
      <c r="E85" s="35"/>
      <c r="F85" s="36"/>
      <c r="G85" s="52" t="str">
        <f>IF(D55="なし","","N=1")</f>
        <v>N=1</v>
      </c>
      <c r="H85" s="64"/>
      <c r="I85" s="53"/>
      <c r="J85" s="7" t="str">
        <f>IF(D55="なし","","台")</f>
        <v>台</v>
      </c>
      <c r="K85" s="130" t="str">
        <f>IF(D53="　","",MID(G85,3,2))</f>
        <v>1</v>
      </c>
      <c r="L85" s="30">
        <f>IF(K85="","",D58*K85)</f>
        <v>4</v>
      </c>
    </row>
    <row r="86" spans="2:12" ht="12" customHeight="1">
      <c r="B86" s="6" t="str">
        <f>IF(D57="なし","","フリーパッカー注入ホース")</f>
        <v/>
      </c>
      <c r="C86" s="34" t="str">
        <f>IF(D53="　","",IF(B86="","","16/20"))</f>
        <v/>
      </c>
      <c r="D86" s="35"/>
      <c r="E86" s="35"/>
      <c r="F86" s="36"/>
      <c r="G86" s="127" t="str">
        <f>IF(B86="","","L=自由長+頭部自由長+緊張余長")</f>
        <v/>
      </c>
      <c r="H86" s="64"/>
      <c r="I86" s="53"/>
      <c r="J86" s="7" t="str">
        <f>IF(D57="なし","","m")</f>
        <v/>
      </c>
      <c r="K86" s="6" t="str">
        <f>IF(D53="　","",IF(B86="","",MROUND(SUM(D59,D61:D62),0.1)))</f>
        <v/>
      </c>
      <c r="L86" s="30" t="str">
        <f>IF(K86="","",D58*K86)</f>
        <v/>
      </c>
    </row>
    <row r="87" spans="2:12" ht="12" customHeight="1">
      <c r="B87" s="6" t="str">
        <f>IF(D57="なし","","フリーパッカー")</f>
        <v/>
      </c>
      <c r="C87" s="52" t="str">
        <f>IF(D53="　","",_xlfn.SINGLE(IF(B86="","",_xlfn.IFS(D65=90,"PA-170",D65=115,"PA-200",D65&lt;147,"PA-240",D65&gt;147,"PA-350"))))</f>
        <v/>
      </c>
      <c r="D87" s="35"/>
      <c r="E87" s="35"/>
      <c r="F87" s="36"/>
      <c r="G87" s="129" t="str">
        <f>IF(B87="","","L=自由長+0.5m")</f>
        <v/>
      </c>
      <c r="H87" s="80"/>
      <c r="I87" s="81"/>
      <c r="J87" s="7" t="str">
        <f>IF(D57="なし","","m")</f>
        <v/>
      </c>
      <c r="K87" s="30" t="str">
        <f>IF(D53="　","",IF(B87="","",MROUND(D59+0.5,0.1)))</f>
        <v/>
      </c>
      <c r="L87" s="30" t="str">
        <f>IF(K87="","",D58*K87)</f>
        <v/>
      </c>
    </row>
    <row r="88" spans="2:12" ht="12" customHeight="1">
      <c r="B88" s="6" t="str">
        <f>IF(D57="なし","","パッカー取付加工")</f>
        <v/>
      </c>
      <c r="C88" s="34"/>
      <c r="D88" s="35"/>
      <c r="E88" s="35"/>
      <c r="F88" s="36"/>
      <c r="G88" s="52" t="str">
        <f>IF(B88="","","N=1")</f>
        <v/>
      </c>
      <c r="H88" s="64"/>
      <c r="I88" s="53"/>
      <c r="J88" s="7" t="str">
        <f>IF(D57="なし","","式")</f>
        <v/>
      </c>
      <c r="K88" s="130" t="str">
        <f>IF(D53="　","",MID(G88,3,2))</f>
        <v/>
      </c>
      <c r="L88" s="30" t="str">
        <f>IF(K88="","",D58*K88)</f>
        <v/>
      </c>
    </row>
    <row r="89" spans="2:12" ht="12" customHeight="1">
      <c r="B89" s="9"/>
      <c r="C89" s="52"/>
      <c r="D89" s="35"/>
      <c r="E89" s="35"/>
      <c r="F89" s="36"/>
      <c r="G89" s="57"/>
      <c r="H89" s="65"/>
      <c r="I89" s="107"/>
      <c r="J89" s="10"/>
      <c r="K89" s="30"/>
      <c r="L89" s="30"/>
    </row>
    <row r="90" spans="2:12" ht="12" customHeight="1">
      <c r="B90" s="11"/>
      <c r="C90" s="42"/>
      <c r="D90" s="37"/>
      <c r="E90" s="37"/>
      <c r="F90" s="38"/>
      <c r="G90" s="58"/>
      <c r="H90" s="66"/>
      <c r="I90" s="54"/>
      <c r="J90" s="12"/>
      <c r="K90" s="11"/>
      <c r="L90" s="11"/>
    </row>
    <row r="91" spans="2:12" ht="12" customHeight="1">
      <c r="B91" s="14" t="s">
        <v>30</v>
      </c>
      <c r="C91" s="43" t="s">
        <v>31</v>
      </c>
      <c r="D91" s="40"/>
      <c r="E91" s="40"/>
      <c r="F91" s="41"/>
      <c r="G91" s="59" t="s">
        <v>56</v>
      </c>
      <c r="H91" s="67"/>
      <c r="I91" s="108"/>
      <c r="J91" s="2" t="s">
        <v>55</v>
      </c>
      <c r="K91" s="31">
        <f>IFERROR(MROUND(0.25*PI()*(0.001*D68)^2*(D59+D60+D65+D67)*(1+2.2),0.01),"")</f>
        <v>0.72</v>
      </c>
      <c r="L91" s="31">
        <f>IFERROR(D58*K91,"")</f>
        <v>2.88</v>
      </c>
    </row>
    <row r="94" spans="2:12" ht="12" customHeight="1">
      <c r="B94" s="251" t="s">
        <v>95</v>
      </c>
      <c r="C94" s="251"/>
      <c r="D94" s="251"/>
      <c r="E94" s="251"/>
    </row>
    <row r="95" spans="2:12" ht="12" customHeight="1">
      <c r="B95" s="15" t="s">
        <v>94</v>
      </c>
      <c r="C95" s="15"/>
      <c r="D95" s="1"/>
      <c r="E95" s="1"/>
      <c r="F95" s="1"/>
    </row>
    <row r="96" spans="2:12" ht="12" customHeight="1">
      <c r="B96" s="111" t="s">
        <v>101</v>
      </c>
      <c r="C96" s="3"/>
      <c r="D96" t="str">
        <f>IF(AND(MID(D99,1,2)="残置",MID(D100,3,1)&lt;&gt;"Ⅰ"),"【注意】 残置アンカーは、防食Ⅰ限定です。EHDアンカーに変更してください。","")</f>
        <v/>
      </c>
      <c r="E96" s="1"/>
      <c r="F96" s="1"/>
      <c r="G96" s="8"/>
      <c r="H96" s="8"/>
      <c r="I96" s="102"/>
      <c r="J96" s="28"/>
    </row>
    <row r="97" spans="2:12" ht="12" customHeight="1">
      <c r="B97" s="15" t="s">
        <v>40</v>
      </c>
      <c r="C97" s="3"/>
      <c r="D97" s="1"/>
      <c r="E97" s="1"/>
      <c r="F97" s="1"/>
      <c r="G97" s="15" t="s">
        <v>54</v>
      </c>
      <c r="H97" s="15"/>
      <c r="I97" s="102"/>
      <c r="J97" s="28"/>
    </row>
    <row r="98" spans="2:12" ht="12" customHeight="1">
      <c r="B98" s="2" t="s">
        <v>53</v>
      </c>
      <c r="C98" s="2" t="s">
        <v>21</v>
      </c>
      <c r="D98" s="2" t="s">
        <v>22</v>
      </c>
      <c r="E98" s="2" t="s">
        <v>84</v>
      </c>
      <c r="F98" s="17"/>
      <c r="G98" s="2" t="s">
        <v>41</v>
      </c>
      <c r="H98" s="97" t="s">
        <v>59</v>
      </c>
      <c r="I98" s="49" t="s">
        <v>44</v>
      </c>
      <c r="J98" s="2" t="s">
        <v>21</v>
      </c>
      <c r="K98" s="49" t="s">
        <v>29</v>
      </c>
      <c r="L98" s="2" t="s">
        <v>28</v>
      </c>
    </row>
    <row r="99" spans="2:12" ht="12" customHeight="1">
      <c r="B99" s="51" t="s">
        <v>37</v>
      </c>
      <c r="C99" s="50" t="s">
        <v>38</v>
      </c>
      <c r="D99" s="70" t="s">
        <v>63</v>
      </c>
      <c r="E99" s="137" t="s">
        <v>71</v>
      </c>
      <c r="F99" s="17"/>
      <c r="G99" s="86" t="str">
        <f>IF(D111=0,"",G100)</f>
        <v/>
      </c>
      <c r="H99" s="87" t="str">
        <f>IF(D111=0,"",H101&amp;" (背面管部）")</f>
        <v/>
      </c>
      <c r="I99" s="88" t="str">
        <f>IF(D111=0,"",D112)</f>
        <v/>
      </c>
      <c r="J99" s="89" t="str">
        <f>IF(D111=0,"","m")</f>
        <v/>
      </c>
      <c r="K99" s="90" t="str">
        <f>IF(D111=0,"",D111)</f>
        <v/>
      </c>
      <c r="L99" s="29" t="str">
        <f>IF(D111=0,"",D104*K99)</f>
        <v/>
      </c>
    </row>
    <row r="100" spans="2:12" ht="12" customHeight="1">
      <c r="B100" s="52" t="s">
        <v>39</v>
      </c>
      <c r="C100" s="91" t="s">
        <v>38</v>
      </c>
      <c r="D100" s="71" t="s">
        <v>82</v>
      </c>
      <c r="E100" s="7"/>
      <c r="F100" s="17"/>
      <c r="G100" s="68" t="s">
        <v>43</v>
      </c>
      <c r="H100" s="68" t="s">
        <v>72</v>
      </c>
      <c r="I100" s="88" t="str" cm="1">
        <f t="array" ref="I100">_xlfn.IFS(AND(G100&lt;&gt;"非削孔",G100&lt;&gt;"無設定"),D114,G100="非削孔",IF(MID(B101,1,3)="土留め","非削孔","箱抜き"),G100="無設定","無設定")</f>
        <v>非削孔</v>
      </c>
      <c r="J100" s="23" t="str">
        <f>IF(G100="無設定","","m")</f>
        <v>m</v>
      </c>
      <c r="K100" s="69">
        <v>0.8</v>
      </c>
      <c r="L100" s="30">
        <f>D104*K100</f>
        <v>3.2</v>
      </c>
    </row>
    <row r="101" spans="2:12" ht="12" customHeight="1">
      <c r="B101" s="115" t="s">
        <v>70</v>
      </c>
      <c r="C101" s="91" t="s">
        <v>38</v>
      </c>
      <c r="D101" s="83" t="s">
        <v>52</v>
      </c>
      <c r="E101" s="139" t="str">
        <f>IF(OR(MID(B101,1,3)&lt;&gt;"土留め",D101="なし"),"","腹起し")</f>
        <v>腹起し</v>
      </c>
      <c r="F101" s="19"/>
      <c r="G101" s="68" t="s">
        <v>92</v>
      </c>
      <c r="H101" s="68" t="s">
        <v>103</v>
      </c>
      <c r="I101" s="88" cm="1">
        <f t="array" ref="I101">_xlfn.IFS(AND(G101&lt;&gt;"非削孔",G101&lt;&gt;"無設定"),D114,G101="非削孔","箱抜き",G101="無設定","無設定")</f>
        <v>135</v>
      </c>
      <c r="J101" s="23" t="str">
        <f t="shared" ref="J101" si="3">IF(G101="無設定","","m")</f>
        <v>m</v>
      </c>
      <c r="K101" s="69">
        <v>20</v>
      </c>
      <c r="L101" s="30">
        <f>D104*K101</f>
        <v>80</v>
      </c>
    </row>
    <row r="102" spans="2:12" ht="12" customHeight="1">
      <c r="B102" s="114" t="str">
        <f>IF(OR(MID(B101,1,3)&lt;&gt;"土留め",D101="なし"),"",B101&amp;"の種類")</f>
        <v>土留め台座の種類</v>
      </c>
      <c r="C102" s="91" t="s">
        <v>38</v>
      </c>
      <c r="D102" s="113" t="s">
        <v>89</v>
      </c>
      <c r="E102" s="122" t="s">
        <v>67</v>
      </c>
      <c r="F102" s="21"/>
      <c r="G102" s="68" t="s">
        <v>48</v>
      </c>
      <c r="H102" s="68"/>
      <c r="I102" s="88" t="str" cm="1">
        <f t="array" ref="I102">_xlfn.IFS(AND(G102&lt;&gt;"非削孔",G102&lt;&gt;"無設定"),D114,G102="非削孔","箱抜き",G102="無設定","無設定")</f>
        <v>無設定</v>
      </c>
      <c r="J102" s="23" t="str">
        <f>IF(G102="無設定","","m")</f>
        <v/>
      </c>
      <c r="K102" s="69">
        <v>0</v>
      </c>
      <c r="L102" s="30">
        <f>D104*K102</f>
        <v>0</v>
      </c>
    </row>
    <row r="103" spans="2:12" ht="12" customHeight="1">
      <c r="B103" s="147" t="s">
        <v>50</v>
      </c>
      <c r="C103" s="91" t="s">
        <v>38</v>
      </c>
      <c r="D103" s="83" t="s">
        <v>51</v>
      </c>
      <c r="E103" s="19"/>
      <c r="F103" s="21"/>
      <c r="G103" s="68" t="s">
        <v>48</v>
      </c>
      <c r="H103" s="68"/>
      <c r="I103" s="88" t="str" cm="1">
        <f t="array" ref="I103">_xlfn.IFS(AND(G103&lt;&gt;"非削孔",G103&lt;&gt;"無設定"),D114,G103="非削孔","箱抜き",G103="無設定","無設定")</f>
        <v>無設定</v>
      </c>
      <c r="J103" s="23" t="str">
        <f t="shared" ref="J103:J109" si="4">IF(G103="無設定","","m")</f>
        <v/>
      </c>
      <c r="K103" s="69">
        <v>0</v>
      </c>
      <c r="L103" s="30">
        <f>D104*K103</f>
        <v>0</v>
      </c>
    </row>
    <row r="104" spans="2:12" ht="12" customHeight="1">
      <c r="B104" s="22" t="s">
        <v>25</v>
      </c>
      <c r="C104" s="23" t="s">
        <v>24</v>
      </c>
      <c r="D104" s="92">
        <v>4</v>
      </c>
      <c r="E104" s="21"/>
      <c r="F104" s="21"/>
      <c r="G104" s="68" t="s">
        <v>48</v>
      </c>
      <c r="H104" s="68"/>
      <c r="I104" s="88" t="str" cm="1">
        <f t="array" ref="I104">_xlfn.IFS(AND(G104&lt;&gt;"非削孔",G104&lt;&gt;"無設定"),D114,G104="非削孔","箱抜き",G104="無設定","無設定")</f>
        <v>無設定</v>
      </c>
      <c r="J104" s="23" t="str">
        <f t="shared" si="4"/>
        <v/>
      </c>
      <c r="K104" s="69">
        <v>0</v>
      </c>
      <c r="L104" s="30">
        <f>D104*K104</f>
        <v>0</v>
      </c>
    </row>
    <row r="105" spans="2:12" ht="12" customHeight="1">
      <c r="B105" s="22" t="s">
        <v>108</v>
      </c>
      <c r="C105" s="23" t="s">
        <v>23</v>
      </c>
      <c r="D105" s="47">
        <v>14</v>
      </c>
      <c r="E105" s="21"/>
      <c r="F105" s="21"/>
      <c r="G105" s="68" t="s">
        <v>61</v>
      </c>
      <c r="H105" s="68"/>
      <c r="I105" s="88" t="str" cm="1">
        <f t="array" ref="I105">_xlfn.IFS(AND(G105&lt;&gt;"非削孔",G105&lt;&gt;"無設定"),D114,G105="非削孔","箱抜き",G105="無設定","無設定")</f>
        <v>無設定</v>
      </c>
      <c r="J105" s="23" t="str">
        <f t="shared" si="4"/>
        <v/>
      </c>
      <c r="K105" s="69">
        <v>0</v>
      </c>
      <c r="L105" s="30">
        <f>D104*K105</f>
        <v>0</v>
      </c>
    </row>
    <row r="106" spans="2:12" ht="12" customHeight="1">
      <c r="B106" s="22" t="s">
        <v>36</v>
      </c>
      <c r="C106" s="23" t="s">
        <v>23</v>
      </c>
      <c r="D106" s="47">
        <v>6</v>
      </c>
      <c r="E106" s="21"/>
      <c r="F106" s="21"/>
      <c r="G106" s="68" t="s">
        <v>48</v>
      </c>
      <c r="H106" s="68"/>
      <c r="I106" s="88" t="str" cm="1">
        <f t="array" ref="I106">_xlfn.IFS(AND(G106&lt;&gt;"非削孔",G106&lt;&gt;"無設定"),D114,G106="非削孔","箱抜き",G106="無設定","無設定")</f>
        <v>無設定</v>
      </c>
      <c r="J106" s="23" t="str">
        <f t="shared" si="4"/>
        <v/>
      </c>
      <c r="K106" s="69">
        <v>0</v>
      </c>
      <c r="L106" s="30">
        <f>D104*K106</f>
        <v>0</v>
      </c>
    </row>
    <row r="107" spans="2:12" ht="12" customHeight="1">
      <c r="B107" s="148" t="str" cm="1">
        <f t="array" ref="B107">"頭部自由長("&amp;_xlfn.IFS(AND(MID(B101,1,3)="土留め",D101="あり"),"腹起し+台座",AND(MID(B101,1,3)="土留め",D101="なし"),"台座なし",AND(MID(B101,1,3)="構造物",D101="あり"),"壁面台座",AND(MID(B101,1,3)="構造物",D101="なし"),"台座なし",AND(MID(B101,1,3)="のり面",D101="あり"),"角度台座＋受圧体",AND(MID(B101,1,3)="のり面",D101="なし"),"受圧体")&amp;")　"&amp;"Lfh"</f>
        <v>頭部自由長(腹起し+台座)　Lfh</v>
      </c>
      <c r="C107" s="23" t="s">
        <v>23</v>
      </c>
      <c r="D107" s="47">
        <v>0.8</v>
      </c>
      <c r="E107" s="21"/>
      <c r="F107" s="21"/>
      <c r="G107" s="68" t="s">
        <v>48</v>
      </c>
      <c r="H107" s="68"/>
      <c r="I107" s="88" t="str" cm="1">
        <f t="array" ref="I107">_xlfn.IFS(AND(G107&lt;&gt;"非削孔",G107&lt;&gt;"無設定"),D114,G107="非削孔","箱抜き",G107="無設定","無設定")</f>
        <v>無設定</v>
      </c>
      <c r="J107" s="23" t="str">
        <f t="shared" si="4"/>
        <v/>
      </c>
      <c r="K107" s="69">
        <v>0</v>
      </c>
      <c r="L107" s="30">
        <f>D104*K107</f>
        <v>0</v>
      </c>
    </row>
    <row r="108" spans="2:12" ht="12" customHeight="1">
      <c r="B108" s="146" t="s">
        <v>69</v>
      </c>
      <c r="C108" s="23" t="s">
        <v>23</v>
      </c>
      <c r="D108" s="24">
        <f>IF(D99="　","──",IF(MID(D99,6,2)*IF(MID(D99,4,1)="5",183,261)*IF(MID(D100,3,1)="Ⅰ",0.65,0.6)*IF(MID(D99,1,2)="除去",0.9,1)&lt;=700,1,1.5))</f>
        <v>1</v>
      </c>
      <c r="E108" s="120"/>
      <c r="G108" s="68" t="s">
        <v>48</v>
      </c>
      <c r="H108" s="68"/>
      <c r="I108" s="88" t="str" cm="1">
        <f t="array" ref="I108">_xlfn.IFS(AND(G108&lt;&gt;"非削孔",G108&lt;&gt;"無設定"),D114,G108="非削孔","箱抜き",G108="無設定","無設定")</f>
        <v>無設定</v>
      </c>
      <c r="J108" s="23" t="str">
        <f t="shared" si="4"/>
        <v/>
      </c>
      <c r="K108" s="69">
        <v>0</v>
      </c>
      <c r="L108" s="30">
        <f>D104*K108</f>
        <v>0</v>
      </c>
    </row>
    <row r="109" spans="2:12" ht="12" customHeight="1">
      <c r="B109" s="6" t="s">
        <v>109</v>
      </c>
      <c r="C109" s="23" t="s">
        <v>23</v>
      </c>
      <c r="D109" s="60">
        <f>IF(D99="　","──",SUM(D105:D108))</f>
        <v>21.8</v>
      </c>
      <c r="E109" s="121"/>
      <c r="F109" s="19"/>
      <c r="G109" s="99" t="str" cm="1">
        <f t="array" ref="G109">INDEX(G100:I108,MATCH("無設定",G100:G108,0)-1,MATCH(G98,G98:I98,0))</f>
        <v>砂質土</v>
      </c>
      <c r="H109" s="100" t="str" cm="1">
        <f t="array" ref="H109">INDEX(G100:I108,MATCH("無設定",G100:G108,0)-1,MATCH(H98,G98:I98,0))&amp;"　(先端削孔長)"</f>
        <v>沖積層～洪積層　(先端削孔長)</v>
      </c>
      <c r="I109" s="88" cm="1">
        <f t="array" ref="I109">INDEX(G100:I108,MATCH("無設定",G100:G108,0)-1,MATCH(I98,G98:I98,0))</f>
        <v>135</v>
      </c>
      <c r="J109" s="23" t="str">
        <f t="shared" si="4"/>
        <v>m</v>
      </c>
      <c r="K109" s="98">
        <f>D113</f>
        <v>0.2</v>
      </c>
      <c r="L109" s="78">
        <f>IFERROR(D104*K109,"")</f>
        <v>0.8</v>
      </c>
    </row>
    <row r="110" spans="2:12" ht="12" customHeight="1">
      <c r="B110" s="22" t="s">
        <v>75</v>
      </c>
      <c r="C110" s="23" t="s">
        <v>35</v>
      </c>
      <c r="D110" s="84">
        <f>IF(D99="　","──",IF(MID(D99,1,2)="除去",0,0.2))</f>
        <v>0</v>
      </c>
      <c r="E110" s="123"/>
      <c r="F110" s="19"/>
      <c r="G110" s="72"/>
      <c r="H110" s="75" t="s">
        <v>45</v>
      </c>
      <c r="I110" s="103"/>
      <c r="J110" s="18" t="s">
        <v>23</v>
      </c>
      <c r="K110" s="74">
        <f>SUMIFS(K99:K109,G99:G109,"&lt;&gt;非削孔",G99:G109,"&lt;&gt;無設定")</f>
        <v>20.2</v>
      </c>
      <c r="L110" s="95">
        <f>SUMIFS(L99:L109,G99:G109,"&lt;&gt;非削孔",G99:G109,"&lt;&gt;無設定")</f>
        <v>80.8</v>
      </c>
    </row>
    <row r="111" spans="2:12" ht="12" customHeight="1">
      <c r="B111" s="22" t="s">
        <v>73</v>
      </c>
      <c r="C111" s="23" t="s">
        <v>35</v>
      </c>
      <c r="D111" s="85">
        <v>0</v>
      </c>
      <c r="E111" s="123"/>
      <c r="F111" s="19"/>
      <c r="G111" s="73"/>
      <c r="H111" s="76" t="s">
        <v>47</v>
      </c>
      <c r="I111" s="104"/>
      <c r="J111" s="79" t="s">
        <v>46</v>
      </c>
      <c r="K111" s="77" t="str">
        <f>IF(D99="　","",IF(SUM(D105:D107,D111,D113)=K110+SUMIFS(K99:K109,G99:G109,"=非削孔"),"OK","NG"))</f>
        <v>OK</v>
      </c>
      <c r="L111" s="145" t="str">
        <f>IF(K111&lt;&gt;"NG","──",K110+SUMIFS(K99:K109,G99:G109,"=非削孔")-SUM(D105:D107,D111,D113))</f>
        <v>──</v>
      </c>
    </row>
    <row r="112" spans="2:12" ht="12" customHeight="1">
      <c r="B112" s="22" t="str">
        <f>IF(D99="　","",IF(D111=0,"","頭部背面管削孔径　Dh"))</f>
        <v/>
      </c>
      <c r="C112" s="23" t="str">
        <f>IF(D99="　","",IF(D111=0,"","mm"))</f>
        <v/>
      </c>
      <c r="D112" s="93" t="str" cm="1">
        <f t="array" ref="D112">IF(D99="　","",IF(D111=0,"",IF(MID(D99,4,1)="5",_xlfn.IFS(VALUE(MID(D99,6,2))&lt;7,115,VALUE(MID(D99,6,2))&gt;6,135),"未設定")))</f>
        <v/>
      </c>
      <c r="E112" s="121"/>
      <c r="F112" s="19"/>
      <c r="G112" s="94" t="s">
        <v>58</v>
      </c>
      <c r="H112" s="252" t="s">
        <v>62</v>
      </c>
      <c r="I112" s="253"/>
      <c r="J112" s="253"/>
      <c r="K112" s="253"/>
      <c r="L112" s="254"/>
    </row>
    <row r="113" spans="2:12" ht="12" customHeight="1">
      <c r="B113" s="25" t="s">
        <v>74</v>
      </c>
      <c r="C113" s="26" t="s">
        <v>23</v>
      </c>
      <c r="D113" s="27">
        <f>IF(MID(D99,1,2)="残置",0.25,0.2)</f>
        <v>0.2</v>
      </c>
      <c r="E113" s="117"/>
      <c r="F113" s="1"/>
      <c r="G113" s="8"/>
      <c r="H113" s="8"/>
      <c r="I113" s="102"/>
    </row>
    <row r="114" spans="2:12" ht="12" customHeight="1">
      <c r="B114" s="25" t="s">
        <v>57</v>
      </c>
      <c r="C114" s="26" t="s">
        <v>32</v>
      </c>
      <c r="D114" s="82" cm="1">
        <f t="array" ref="D114">IF(D99="　","──",IF(E114="　",_xlfn.IFS(MID(D99,1,2)="除去",IF(MID(D99,4,1)="5",135,165),MID(D99,1,2)="残置",IF(MID(D99,4,1)="5",IF(VALUE(MID(D99,6,2))&lt;8,115,135),IF(VALUE(MID(D99,6,2))&lt;10,146,165))),E114))</f>
        <v>135</v>
      </c>
      <c r="E114" s="142" t="s">
        <v>71</v>
      </c>
      <c r="F114" s="1"/>
      <c r="G114" s="8"/>
      <c r="H114" s="8"/>
      <c r="I114" s="102"/>
    </row>
    <row r="115" spans="2:12" ht="12" customHeight="1">
      <c r="F115" s="1"/>
      <c r="G115" s="8"/>
      <c r="H115" s="8"/>
      <c r="I115" s="102"/>
    </row>
    <row r="116" spans="2:12" ht="12" customHeight="1">
      <c r="B116" s="15" t="str">
        <f>"■"&amp;MID(B94,2,17)</f>
        <v>■短期仮設：KJS除去アンカー数量表</v>
      </c>
      <c r="C116" s="3"/>
      <c r="D116" s="1"/>
      <c r="E116" s="1"/>
      <c r="F116" s="1"/>
      <c r="G116" s="8"/>
      <c r="H116" s="8"/>
      <c r="I116" s="102"/>
    </row>
    <row r="117" spans="2:12" ht="12" customHeight="1">
      <c r="B117" s="2" t="s">
        <v>17</v>
      </c>
      <c r="C117" s="43"/>
      <c r="D117" s="134"/>
      <c r="E117" s="61" t="s">
        <v>78</v>
      </c>
      <c r="F117" s="135"/>
      <c r="G117" s="16"/>
      <c r="H117" s="61" t="s">
        <v>42</v>
      </c>
      <c r="I117" s="97"/>
      <c r="J117" s="2" t="s">
        <v>21</v>
      </c>
      <c r="K117" s="49" t="s">
        <v>29</v>
      </c>
      <c r="L117" s="2" t="s">
        <v>28</v>
      </c>
    </row>
    <row r="118" spans="2:12" ht="12" customHeight="1">
      <c r="B118" s="4" t="str">
        <f>IF(MID(D99,1,2)="除去","アンボンド","")&amp;"PCストランド"</f>
        <v>アンボンドPCストランド</v>
      </c>
      <c r="C118" s="39" t="str">
        <f>IF(D99="　","",D99&amp;"("&amp;MID(D99,6,2)&amp;IF(MID(D99,4,1)="5","φ12.7","φ15.2")&amp;")")</f>
        <v>除去J5-6(6φ12.7)</v>
      </c>
      <c r="D118" s="32"/>
      <c r="E118" s="32"/>
      <c r="F118" s="33"/>
      <c r="G118" s="143" t="str">
        <f>"W="&amp;IF(MID(D99,1,2)="除去","(ﾃﾝﾄﾞﾝ長+ｱﾝｶｰ体長×(1/鋼線本数-0.5))","(テンドン長+先端長0.2m)")&amp;"×鋼線本数×"&amp;IF(MID(D99,4,1)="5","0.774","1.101")&amp;"kg/m"</f>
        <v>W=(ﾃﾝﾄﾞﾝ長+ｱﾝｶｰ体長×(1/鋼線本数-0.5))×鋼線本数×0.774kg/m</v>
      </c>
      <c r="H118" s="62"/>
      <c r="I118" s="105"/>
      <c r="J118" s="5" t="s">
        <v>11</v>
      </c>
      <c r="K118" s="29">
        <f>IF(D99="　","",MROUND(IF(MID(D99,1,2)="除去",D109+D106*(1/MID(D99,6,2)-0.5),D109+D110)*MID(D99,6,2)*IF(MID(D99,4,1)="5","0.774","1.101"),0.01))</f>
        <v>91.95</v>
      </c>
      <c r="L118" s="29">
        <f>IFERROR(D104*K118,"")</f>
        <v>367.8</v>
      </c>
    </row>
    <row r="119" spans="2:12" ht="12" customHeight="1">
      <c r="B119" s="6" t="s">
        <v>20</v>
      </c>
      <c r="C119" s="34"/>
      <c r="D119" s="35"/>
      <c r="E119" s="35"/>
      <c r="F119" s="36"/>
      <c r="G119" s="56" t="str">
        <f>"L=テンドン長"&amp;IF(MID(D99,1,2)="除去","+アンカー体長×(1/鋼線本数-0.5))","")</f>
        <v>L=テンドン長+アンカー体長×(1/鋼線本数-0.5))</v>
      </c>
      <c r="H119" s="63"/>
      <c r="I119" s="106"/>
      <c r="J119" s="7" t="s">
        <v>12</v>
      </c>
      <c r="K119" s="30">
        <f>IF(D99="　","",MROUND(D109+IF(MID(D99,1,2)="除去",D106*(1/MID(D99,6,2)-0.5),0),0.1))</f>
        <v>19.8</v>
      </c>
      <c r="L119" s="30">
        <f>IFERROR(D104*K119,"")</f>
        <v>79.2</v>
      </c>
    </row>
    <row r="120" spans="2:12" ht="12" customHeight="1">
      <c r="B120" s="6" t="str">
        <f>IF(MID(D99,1,2)="除去","耐荷体","注入ホース")</f>
        <v>耐荷体</v>
      </c>
      <c r="C120" s="34" t="str" cm="1">
        <f t="array" ref="C120">IF(D99="　","",IF(MID(D99,1,2)="除去",IF(MID(D99,1,2)="除去",MID(D99,3,2)&amp;"用Bタイプ、FCD450相当"&amp;_xlfn.IFS(MID(D100,3,1)="Ⅰ","",MID(D100,3,1)="Ⅱ","、亜鉛めっき処理",MID(D100,3,1)="Ⅲ","、ｱﾙﾐﾅｲｽﾞ処理"),""),"1/2″"))</f>
        <v>J5用Bタイプ、FCD450相当</v>
      </c>
      <c r="D120" s="35"/>
      <c r="E120" s="35"/>
      <c r="F120" s="36"/>
      <c r="G120" s="127" t="str">
        <f>IF(MID(D99,1,2)="除去","N="&amp;0.5*MID(D99,6,2),"L=テンドン長")</f>
        <v>N=3</v>
      </c>
      <c r="H120" s="63"/>
      <c r="I120" s="106"/>
      <c r="J120" s="7" t="str">
        <f>IF(MID(D99,1,2)="除去","個","m")</f>
        <v>個</v>
      </c>
      <c r="K120" s="130" t="str">
        <f>IF(D99="　","",IF(MID(D99,1,2)="除去",MID(G120,3,2),MROUND(D109,0.1)))</f>
        <v>3</v>
      </c>
      <c r="L120" s="30">
        <f>IFERROR(D104*K120,"")</f>
        <v>12</v>
      </c>
    </row>
    <row r="121" spans="2:12" ht="12" customHeight="1">
      <c r="B121" s="109" t="str">
        <f>IF(MID(D99,1,2)="除去","結束テープ","パイロットキャップ")</f>
        <v>結束テープ</v>
      </c>
      <c r="C121" s="34" t="str" cm="1">
        <f t="array" ref="C121">IF(D99="　","",IF(MID(D99,1,2)="除去","","Ｊ"&amp;IF(MID(D99,4,1)="5",_xlfn.IFS(VALUE(MID(D99,6,2))&lt;5,"5-4",VALUE(MID(D99,6,2))&lt;8,"5-7",VALUE(MID(D99,6,2))&lt;10,"5-9",VALUE(MID(D99,6,2))&gt;9,"5-12"),_xlfn.IFS(VALUE(MID(D99,6,2))&lt;10,"6-9",VALUE(MID(D99,6,2))&lt;13,"6-12",VALUE(MID(D99,6,2))&gt;12,"6-19"))&amp;"用、"&amp;IF(AND(MID(D99,4,1)="6",VALUE(MID(D99,6,2))&gt;9),"AC2A","ポリプロピレン")))</f>
        <v/>
      </c>
      <c r="D121" s="35"/>
      <c r="E121" s="35"/>
      <c r="F121" s="36"/>
      <c r="G121" s="52" t="str">
        <f>IF(MID(D99,1,2)="除去","L=(自由長+頭部自由長+緊張余長)÷2.0mピッチ","N=1")</f>
        <v>L=(自由長+頭部自由長+緊張余長)÷2.0mピッチ</v>
      </c>
      <c r="H121" s="110"/>
      <c r="I121" s="53"/>
      <c r="J121" s="7" t="str">
        <f>IF(MID(D99,1,2)="除去","m","個")</f>
        <v>m</v>
      </c>
      <c r="K121" s="130">
        <f>IF(D99="　","",IF(MID(D99,1,2)="除去",MROUND(SUM(D105,D107:D108)/2,0.01),MID(G121,3,2)))</f>
        <v>7.9</v>
      </c>
      <c r="L121" s="30">
        <f>IFERROR(D104*K121,"")</f>
        <v>31.6</v>
      </c>
    </row>
    <row r="122" spans="2:12" ht="12" customHeight="1">
      <c r="B122" s="109" t="str">
        <f>IF(MID(D99,1,2)="除去",IF(D100="防食Ⅰ","アンカープレート","溝付アンカープレート"),"スペーサ")</f>
        <v>アンカープレート</v>
      </c>
      <c r="C122" s="96" t="str" cm="1">
        <f t="array" ref="C122">IF(D99="　","",_xlfn.SINGLE(IF(MID(D99,1,2)="除去","J"&amp;_xlfn.SINGLE(IF(MID(D99,4,1)="5",_xlfn.IFS(VALUE(MID(D99,6,2))&lt;3,"5-2",VALUE(MID(D99,6,2))&lt;5,"5-4",VALUE(MID(D99,6,2))&lt;7,"5-7",VALUE(MID(D99,6,2))&lt;10,"5-9",VALUE(MID(D99,6,2))&gt;9,"5-12"),_xlfn.IFS(VALUE(MID(D99,6,2))&lt;13,"6-12")))&amp;"用、"&amp;IF(D100="防食Ⅰ","SS400相当","SS400・STKM13A相当、防食：")&amp;_xlfn.IFS(D100="防食Ⅰ","無処理",D100="防食Ⅱ","亜鉛めっき処理",D100="防食Ⅲ","ｱﾙﾐﾅｲｽﾞ処理"),"J"&amp;IF(MID(D99,4,1)="5",_xlfn.IFS(VALUE(MID(D99,6,2))&lt;8,"5-7",VALUE(MID(D99,6,2))&gt;7,"5-12"),_xlfn.IFS(VALUE(MID(D99,6,2))&lt;8,"6-7",VALUE(MID(D99,6,2))&lt;13,"6-12",VALUE(MID(D99,6,2))&gt;12,"6-19"))&amp;"用、"&amp;IF(AND(MID(D99,4,1)="6",VALUE(MID(D99,6,2))&gt;9),"AC2B","ポリプロピレン"))))</f>
        <v>J5-7用、SS400相当無処理</v>
      </c>
      <c r="D122" s="35"/>
      <c r="E122" s="35"/>
      <c r="F122" s="36"/>
      <c r="G122" s="127" t="str">
        <f>IF(MID(D99,1,2)="除去","N=1","N=アンカー体÷1.0mピッチ")</f>
        <v>N=1</v>
      </c>
      <c r="H122" s="63"/>
      <c r="I122" s="106"/>
      <c r="J122" s="7" t="str">
        <f>IF(MID(D99,1,2)="除去","枚","m")</f>
        <v>枚</v>
      </c>
      <c r="K122" s="130" t="str">
        <f>IF(D99="　","",IF(D99="　","",IF(MID(D99,1,2)="除去",MID(G122,3,2),MROUND(D106/1,1))))</f>
        <v>1</v>
      </c>
      <c r="L122" s="30">
        <f>IFERROR(D104*K122,"")</f>
        <v>4</v>
      </c>
    </row>
    <row r="123" spans="2:12" ht="12" customHeight="1">
      <c r="B123" s="109" t="str">
        <f>IF(MID(D99,1,2)="除去","アンカーヘッド","結束バンド")</f>
        <v>アンカーヘッド</v>
      </c>
      <c r="C123" s="34" t="str">
        <f>IF(D99="　","",IF(MID(D99,1,2)="除去","J"&amp;IF(MID(D99,4,1)="5",_xlfn.IFS(VALUE(MID(D99,6,2))&lt;3,"5-2",VALUE(MID(D99,6,2))&lt;4,"5-3",VALUE(MID(D99,6,2))&lt;5,"5-4",VALUE(MID(D99,6,2))&lt;8,"5-7",VALUE(MID(D99,6,2))&lt;10,"5-9",VALUE(MID(D99,6,2))&gt;9,"5-12"),_xlfn.IFS(VALUE(MID(D99,6,2))&lt;8,"6-7",VALUE(MID(D99,6,2))&gt;7,"6-12"))&amp;"用、S45C相当","AB350、66ナイロン"))</f>
        <v>J5-7用、S45C相当</v>
      </c>
      <c r="D123" s="35"/>
      <c r="E123" s="35"/>
      <c r="F123" s="36"/>
      <c r="G123" s="127" t="str">
        <f>IF(MID(D99,1,2)="除去","N=1","N=スペーサ数×2")</f>
        <v>N=1</v>
      </c>
      <c r="H123" s="63"/>
      <c r="I123" s="106"/>
      <c r="J123" s="7" t="str">
        <f>IF(MID(D99,1,2)="除去","個","本")</f>
        <v>個</v>
      </c>
      <c r="K123" s="130" t="str">
        <f>IF(D99="　","",IF(MID(D99,1,2)="除去",MID(G123,3,2),2*K122))</f>
        <v>1</v>
      </c>
      <c r="L123" s="30">
        <f>IFERROR(D104*K123,"")</f>
        <v>4</v>
      </c>
    </row>
    <row r="124" spans="2:12" ht="12" customHeight="1">
      <c r="B124" s="6" t="str">
        <f>IF(MID(D99,1,2)="除去","くさび","ポリホース")</f>
        <v>くさび</v>
      </c>
      <c r="C124" s="34" t="str">
        <f>IF(D99="　","",IF(MID(D99,1,2)="除去",MID(D99,3,5)&amp;"用、"&amp;IF(MID(D99,4,1)="5","φ12.7","φ15.2")&amp;"、SCM415相当","1-1/2″"))</f>
        <v>J5-6用、φ12.7、SCM415相当</v>
      </c>
      <c r="D124" s="35"/>
      <c r="E124" s="35"/>
      <c r="F124" s="36"/>
      <c r="G124" s="127" t="str">
        <f>IF(MID(D99,1,2)="除去","N="&amp;MID(D99,6,2),"L=自由長-0.5m")</f>
        <v>N=6</v>
      </c>
      <c r="H124" s="63"/>
      <c r="I124" s="106"/>
      <c r="J124" s="7" t="str">
        <f>IF(MID(D99,1,2)="除去","組","m")</f>
        <v>組</v>
      </c>
      <c r="K124" s="130" t="str">
        <f>IF(D99="　","",IF(MID(D99,1,2)="除去",MID(G124,3,2),D105+D107-0.5))</f>
        <v>6</v>
      </c>
      <c r="L124" s="30">
        <f>IFERROR(D104*K124,"")</f>
        <v>24</v>
      </c>
    </row>
    <row r="125" spans="2:12" ht="12" customHeight="1">
      <c r="B125" s="6" t="str">
        <f>IF(MID(D99,1,2)="除去",IF(D100="防食Ⅰ","","ヘッドキャップ"),"アンカープレート")</f>
        <v/>
      </c>
      <c r="C125" s="96" t="str" cm="1">
        <f t="array" ref="C125">IF(D99="　","",IF(MID(D99,1,2)="除去",IF(D100="防食Ⅰ","","J"&amp;_xlfn.SINGLE(IF(MID(D99,4,1)="5",_xlfn.IFS(VALUE(MID(D99,6,2))&lt;5,"5-4",VALUE(MID(D99,6,2))&lt;8,"5-7",VALUE(MID(D99,6,2))&gt;7,"5-12"),"未設定"))&amp;"RN用、AC4C相当"&amp;IF(D100="防食Ⅱ","","、防食：タケコート処理")),"J"&amp;_xlfn.SINGLE(IF(MID(D99,4,1)="5",_xlfn.IFS(VALUE(MID(D99,6,2))&lt;3,"5-2",VALUE(MID(D99,6,2))&lt;5,"5-4",VALUE(MID(D99,6,2))&lt;7,"5-7",VALUE(MID(D99,6,2))&lt;10,"5-9",VALUE(MID(D99,6,2))&gt;9,"5-12"),_xlfn.IFS(VALUE(MID(D99,6,2))&lt;13,"6-12")))&amp;"用、"&amp;IF(D100="防食Ⅰ","SS400相当","SS400・STKM13A相当、防食：")&amp;_xlfn.IFS(D100="防食Ⅰ","、防食：無処理",D100="防食Ⅱ","、防食：亜鉛めっき",D100="防食Ⅲ","、防食：ｱﾙﾐﾅｲｽﾞ")))</f>
        <v/>
      </c>
      <c r="D125" s="44"/>
      <c r="E125" s="44"/>
      <c r="F125" s="45"/>
      <c r="G125" s="52" t="str">
        <f>IF(MID(D99,1,2)="除去",IF(D100="防食Ⅰ","","N=1"),"N=1")</f>
        <v/>
      </c>
      <c r="H125" s="64"/>
      <c r="I125" s="53"/>
      <c r="J125" s="7" t="str">
        <f>IF(MID(D99,1,2)="除去",IF(D100="防食Ⅰ","","個"),"枚")</f>
        <v/>
      </c>
      <c r="K125" s="130" t="str">
        <f>IF(D99="　","",IF(MID(D99,1,2)="除去",MID(G125,3,2),MID(G125,3,2)))</f>
        <v/>
      </c>
      <c r="L125" s="30" t="str">
        <f>IFERROR(D104*K125,"")</f>
        <v/>
      </c>
    </row>
    <row r="126" spans="2:12" ht="12" customHeight="1">
      <c r="B126" s="6" t="str">
        <f>IF(MID(D99,1,2)="除去",IF(D100="防食Ⅰ","","頭部防錆油"),"アンカーヘッド")</f>
        <v/>
      </c>
      <c r="C126" s="34" t="str">
        <f>IF(D99="　","",IF(MID(D99,1,2)="除去",IF(D100="防食Ⅰ","","PCコートC"),"J"&amp;IF(MID(D99,4,1)="5",_xlfn.IFS(VALUE(MID(D99,6,2))&lt;3,"5-2",VALUE(MID(D99,6,2))&lt;4,"5-3",VALUE(MID(D99,6,2))&lt;5,"5-4",VALUE(MID(D99,6,2))&lt;8,"5-7",VALUE(MID(D99,6,2))&lt;10,"5-9",VALUE(MID(D99,6,2))&gt;9,"5-12"),_xlfn.IFS(VALUE(MID(D99,6,2))&lt;8,"6-7",VALUE(MID(D99,6,2))&gt;7,"6-12"))&amp;"用、S45C相当"))</f>
        <v/>
      </c>
      <c r="D126" s="35"/>
      <c r="E126" s="35"/>
      <c r="F126" s="36"/>
      <c r="G126" s="52" t="str" cm="1">
        <f t="array" ref="G126">IF(MID(D99,1,2)="除去",_xlfn.SINGLE(IF(D100="防食Ⅰ","","W="&amp;IF(MID(D99,4,1)="5",_xlfn.IFS(VALUE(MID(D99,6,2))&lt;4,1.8,VALUE(MID(D99,6,2))&lt;5,2,VALUE(MID(D99,6,2))&lt;8,2.7,VALUE(MID(D99,6,2))&gt;7,5),_xlfn.IFS(VALUE(MID(D99,6,2))=1,1.8,VALUE(MID(D99,6,2))&lt;3,2,VALUE(MID(D99,6,2))&lt;5,2.7,VALUE(MID(D99,6,2))&lt;8,5,VALUE(MID(D99,6,2))&gt;7,12.3)))),"N=1")</f>
        <v/>
      </c>
      <c r="H126" s="64"/>
      <c r="I126" s="53"/>
      <c r="J126" s="7" t="str">
        <f>IF(MID(D99,1,2)="除去",IF(D100="防食Ⅰ","","kg"),"個")</f>
        <v/>
      </c>
      <c r="K126" s="130" t="str">
        <f>IF(D99="　","",IF(MID(D99,1,2)="除去",MID(G126,3,4),MID(G126,3,2)))</f>
        <v/>
      </c>
      <c r="L126" s="30" t="str">
        <f>IFERROR(D104*K126,"")</f>
        <v/>
      </c>
    </row>
    <row r="127" spans="2:12" ht="12" customHeight="1">
      <c r="B127" s="6" t="str">
        <f>IF(MID(D99,1,2)="除去",IF(D100="防食Ⅰ","","止水具スペーサ"),"くさび")</f>
        <v/>
      </c>
      <c r="C127" s="34" t="str">
        <f>IF(D99="　","",IF(MID(D99,1,2)="除去",IF(D100="防食Ⅰ","",MID(D99,3,5)&amp;"用、NBR45相当"),MID(D99,3,5)&amp;"用、"&amp;IF(MID(D99,4,1)="5","φ12.7","φ15.2")&amp;"、SCM415相当"))</f>
        <v/>
      </c>
      <c r="D127" s="35"/>
      <c r="E127" s="35"/>
      <c r="F127" s="36"/>
      <c r="G127" s="52" t="str">
        <f>IF(D99="　","",IF(MID(D99,1,2)="除去",IF(D100="防食Ⅰ","","N="&amp;1),"N="&amp;MID(D99,6,2)))</f>
        <v/>
      </c>
      <c r="H127" s="64"/>
      <c r="I127" s="53"/>
      <c r="J127" s="7" t="str">
        <f>IF(MID(D99,1,2)="除去",IF(D100="防食Ⅰ","","個"),"組")</f>
        <v/>
      </c>
      <c r="K127" s="130" t="str">
        <f>IF(D99="　","",IF(MID(D99,1,2)="除去",MID(G127,3,2),MID(G127,3,2)))</f>
        <v/>
      </c>
      <c r="L127" s="30" t="str">
        <f>IFERROR(D104*K127,"")</f>
        <v/>
      </c>
    </row>
    <row r="128" spans="2:12" ht="12" customHeight="1">
      <c r="B128" s="6" t="str">
        <f>IF(MID(D99,1,2)="除去",IF(D100="防食Ⅰ","","配列スペーサ"),"サンタックシーラー")</f>
        <v/>
      </c>
      <c r="C128" s="34" t="str">
        <f>IF(D99="　","",IF(MID(D99,1,2)="除去",IF(D100="防食Ⅰ","","J"&amp;IF(MID(D99,4,1)="5",_xlfn.IFS(VALUE(MID(D99,6,2))=3,"5-3",VALUE(MID(D99,6,2))&lt;5,"5-4",VALUE(MID(D99,6,2))&lt;8,"5-7",VALUE(MID(D99,6,2))&gt;7,"5-12"),_xlfn.IFS(VALUE(MID(D99,6,2))=3,"6-3",VALUE(MID(D99,6,2))&lt;5,"6-4",VALUE(MID(D99,6,2))&lt;8,"6-7",VALUE(MID(D99,6,2))&gt;7,"6-12"))&amp;"用、ポリエチレン"),""))</f>
        <v/>
      </c>
      <c r="D128" s="35"/>
      <c r="E128" s="35"/>
      <c r="F128" s="36"/>
      <c r="G128" s="52" t="str" cm="1">
        <f t="array" ref="G128">IF(D99="　","",IF(MID(D99,1,2)="除去",IF(D100="防食Ⅰ","","N="&amp;1),"N="&amp;IF(MID(D99,4,1)="5",_xlfn.IFS(VALUE(MID(D99,6,2))&lt;5,0.03,VALUE(MID(D99,6,2))&lt;8,0.04,VALUE(MID(D99,6,2))&lt;13,0.06),_xlfn.IFS(VALUE(MID(D99,6,2))&lt;4,0.03,VALUE(MID(D99,6,2))&lt;6,0.04,VALUE(MID(D99,6,2))&lt;9,0.06,VALUE(MID(D99,6,2))&gt;8,0.09))&amp;"巻/本"))</f>
        <v/>
      </c>
      <c r="H128" s="64"/>
      <c r="I128" s="53"/>
      <c r="J128" s="7" t="str">
        <f>IF(MID(D99,1,2)="除去",IF(D100="防食Ⅰ","","個"),"巻")</f>
        <v/>
      </c>
      <c r="K128" s="130" t="str">
        <f>IF(D99="　","",IF(MID(D99,1,2)="除去",MID(G128,3,2),MID(G128,3,4)))</f>
        <v/>
      </c>
      <c r="L128" s="30" t="str">
        <f>IFERROR(D104*K128,"")</f>
        <v/>
      </c>
    </row>
    <row r="129" spans="2:12" ht="12" customHeight="1">
      <c r="B129" s="6" t="str">
        <f>IF(MID(D99,1,2)="除去","","結束テープ")</f>
        <v/>
      </c>
      <c r="C129" s="34" t="str">
        <f>IF(D99="　","",IF(MID(D99,1,2)="除去","",""))</f>
        <v/>
      </c>
      <c r="D129" s="35"/>
      <c r="E129" s="35"/>
      <c r="F129" s="36"/>
      <c r="G129" s="52" t="str" cm="1">
        <f t="array" ref="G129">IF(D99="　","",IF(MID(D99,1,2)="除去","","L=(自由長+緊張余長)×係数"&amp;IF(MID(D99,4,1)="5",_xlfn.IFS(VALUE(MID(D99,6,2))&lt;5,"1.0",VALUE(MID(D99,6,2))&lt;8,"1.1",VALUE(MID(D99,6,2))&lt;13,"1.2"),_xlfn.IFS(VALUE(MID(D99,6,2))&lt;4,"1.0",VALUE(MID(D99,6,2))&lt;6,"1.1",VALUE(MID(D99,6,2))&lt;9,"1.2",VALUE(MID(D99,6,2))&gt;8,"1.4"))))</f>
        <v/>
      </c>
      <c r="H129" s="64"/>
      <c r="I129" s="53"/>
      <c r="J129" s="7" t="str">
        <f>IF(MID(D99,1,2)="除去","","m")</f>
        <v/>
      </c>
      <c r="K129" s="6" t="str">
        <f>IF(D99="　","",IF(MID(D99,1,2)="除去","",MROUND(SUM(D105,D107:D108)*RIGHT(G129,3),0.1)))</f>
        <v/>
      </c>
      <c r="L129" s="30" t="str">
        <f>IFERROR(D104*K129,"")</f>
        <v/>
      </c>
    </row>
    <row r="130" spans="2:12" ht="12" customHeight="1">
      <c r="B130" s="126" t="str">
        <f>IF(MID(D99,1,2)="除去","","防錆材")</f>
        <v/>
      </c>
      <c r="C130" s="126" t="str">
        <f>IF(D99="　","",IF(MID(D99,1,2)="除去","","自由長部塗布"))</f>
        <v/>
      </c>
      <c r="D130" s="35"/>
      <c r="E130" s="35"/>
      <c r="F130" s="35"/>
      <c r="G130" s="128" t="str">
        <f>IF(MID(D99,1,2)="除去","","W=(自由長-0.5m)×鋼線本数×0.0646kg")</f>
        <v/>
      </c>
      <c r="H130" s="35"/>
      <c r="I130" s="125"/>
      <c r="J130" s="48" t="str">
        <f>IF(MID(D99,1,2)="除去","","kg")</f>
        <v/>
      </c>
      <c r="K130" s="6" t="str">
        <f>IF(D99="　","",IF(MID(D99,1,2)="除去","",MROUND((D105+D107-0.5)*MID(D99,6,2)*0.0646,0.1)))</f>
        <v/>
      </c>
      <c r="L130" s="30" t="str">
        <f>IFERROR(D104*K130,"")</f>
        <v/>
      </c>
    </row>
    <row r="131" spans="2:12" ht="12" customHeight="1">
      <c r="B131" s="6" t="str">
        <f>IF(D101="なし","",B101)</f>
        <v>土留め台座</v>
      </c>
      <c r="C131" s="34" t="str" cm="1">
        <f t="array" ref="C131">IF(D99="　","",IF(D101="なし","",_xlfn.IFS(MID(B101,1,3)="のり面",_xlfn.IFS(VALUE(MID(D99,6,2))&lt;5,"ST170",VALUE(MID(D99,6,2))&lt;8,"ST200",VALUE(MID(D99,6,2))&lt;13,"ST200")&amp;"、FCD450相当",OR(MID(B101,1,3)="構造物",MID(B101,1,3)="土留め"),D99&amp;"用"&amp;IF(OR(MID(B101,1,3)="構造物",D102="　"),"",D102&amp;"/"&amp;E102))&amp;"、防食："&amp;_xlfn.IFS(D100="防食Ⅰ","無処理",D100="防食Ⅱ","亜鉛めっき処理",D100="防食Ⅲ","ｱﾙﾐﾅｲｽﾞ処理")))</f>
        <v>除去J5-6用DB660/H350、防食：無処理</v>
      </c>
      <c r="D131" s="35"/>
      <c r="E131" s="35"/>
      <c r="F131" s="36"/>
      <c r="G131" s="52" t="str">
        <f>IF(D101="なし","","N=1")</f>
        <v>N=1</v>
      </c>
      <c r="H131" s="64"/>
      <c r="I131" s="53"/>
      <c r="J131" s="7" t="str">
        <f>IF(D101="なし","","台")</f>
        <v>台</v>
      </c>
      <c r="K131" s="130" t="str">
        <f>IF(D99="　","",MID(G131,3,2))</f>
        <v>1</v>
      </c>
      <c r="L131" s="30">
        <f>IF(K131="","",D104*K131)</f>
        <v>4</v>
      </c>
    </row>
    <row r="132" spans="2:12" ht="12" customHeight="1">
      <c r="B132" s="6" t="str">
        <f>IF(D103="なし","","フリーパッカー注入ホース")</f>
        <v/>
      </c>
      <c r="C132" s="34" t="str">
        <f>IF(D99="　","",IF(B132="","","16/20"))</f>
        <v/>
      </c>
      <c r="D132" s="35"/>
      <c r="E132" s="35"/>
      <c r="F132" s="36"/>
      <c r="G132" s="127" t="str">
        <f>IF(B132="","","L=自由長+頭部自由長+緊張余長")</f>
        <v/>
      </c>
      <c r="H132" s="64"/>
      <c r="I132" s="53"/>
      <c r="J132" s="7" t="str">
        <f>IF(D103="なし","","m")</f>
        <v/>
      </c>
      <c r="K132" s="6" t="str">
        <f>IF(D99="　","",IF(B132="","",MROUND(SUM(D105,D107:D108),0.1)))</f>
        <v/>
      </c>
      <c r="L132" s="30" t="str">
        <f>IF(K132="","",D104*K132)</f>
        <v/>
      </c>
    </row>
    <row r="133" spans="2:12" ht="12" customHeight="1">
      <c r="B133" s="6" t="str">
        <f>IF(D103="なし","","フリーパッカー")</f>
        <v/>
      </c>
      <c r="C133" s="52" t="str">
        <f>IF(D99="　","",_xlfn.SINGLE(IF(B132="","",_xlfn.IFS(D111=90,"PA-170",D111=115,"PA-200",D111&lt;147,"PA-240",D111&gt;147,"PA-350"))))</f>
        <v/>
      </c>
      <c r="D133" s="35"/>
      <c r="E133" s="35"/>
      <c r="F133" s="36"/>
      <c r="G133" s="129" t="str">
        <f>IF(B133="","","L=自由長+0.5m")</f>
        <v/>
      </c>
      <c r="H133" s="80"/>
      <c r="I133" s="81"/>
      <c r="J133" s="7" t="str">
        <f>IF(D103="なし","","m")</f>
        <v/>
      </c>
      <c r="K133" s="30" t="str">
        <f>IF(D99="　","",IF(B133="","",MROUND(D105+0.5,0.1)))</f>
        <v/>
      </c>
      <c r="L133" s="30" t="str">
        <f>IF(K133="","",D104*K133)</f>
        <v/>
      </c>
    </row>
    <row r="134" spans="2:12" ht="12" customHeight="1">
      <c r="B134" s="6" t="str">
        <f>IF(D103="なし","","パッカー取付加工")</f>
        <v/>
      </c>
      <c r="C134" s="34"/>
      <c r="D134" s="35"/>
      <c r="E134" s="35"/>
      <c r="F134" s="36"/>
      <c r="G134" s="52" t="str">
        <f>IF(B134="","","N=1")</f>
        <v/>
      </c>
      <c r="H134" s="64"/>
      <c r="I134" s="53"/>
      <c r="J134" s="7" t="str">
        <f>IF(D103="なし","","式")</f>
        <v/>
      </c>
      <c r="K134" s="130" t="str">
        <f>IF(D99="　","",MID(G134,3,2))</f>
        <v/>
      </c>
      <c r="L134" s="30" t="str">
        <f>IF(K134="","",D104*K134)</f>
        <v/>
      </c>
    </row>
    <row r="135" spans="2:12" ht="12" customHeight="1">
      <c r="B135" s="9"/>
      <c r="C135" s="52"/>
      <c r="D135" s="35"/>
      <c r="E135" s="35"/>
      <c r="F135" s="36"/>
      <c r="G135" s="57"/>
      <c r="H135" s="65"/>
      <c r="I135" s="107"/>
      <c r="J135" s="10"/>
      <c r="K135" s="30"/>
      <c r="L135" s="30"/>
    </row>
    <row r="136" spans="2:12" ht="12" customHeight="1">
      <c r="B136" s="11"/>
      <c r="C136" s="42"/>
      <c r="D136" s="37"/>
      <c r="E136" s="37"/>
      <c r="F136" s="38"/>
      <c r="G136" s="58"/>
      <c r="H136" s="66"/>
      <c r="I136" s="54"/>
      <c r="J136" s="12"/>
      <c r="K136" s="11"/>
      <c r="L136" s="11"/>
    </row>
    <row r="137" spans="2:12" ht="12" customHeight="1">
      <c r="B137" s="14" t="s">
        <v>30</v>
      </c>
      <c r="C137" s="43" t="s">
        <v>31</v>
      </c>
      <c r="D137" s="40"/>
      <c r="E137" s="40"/>
      <c r="F137" s="41"/>
      <c r="G137" s="59" t="s">
        <v>56</v>
      </c>
      <c r="H137" s="67"/>
      <c r="I137" s="108"/>
      <c r="J137" s="2" t="s">
        <v>55</v>
      </c>
      <c r="K137" s="31">
        <f>IFERROR(MROUND(0.25*PI()*(0.001*D114)^2*(D105+D106+D111+D113)*(1+2.2),0.01),"")</f>
        <v>0.93</v>
      </c>
      <c r="L137" s="31">
        <f>IFERROR(D104*K137,"")</f>
        <v>3.72</v>
      </c>
    </row>
    <row r="140" spans="2:12" ht="12" customHeight="1">
      <c r="B140" s="251" t="s">
        <v>95</v>
      </c>
      <c r="C140" s="251"/>
      <c r="D140" s="251"/>
      <c r="E140" s="251"/>
    </row>
    <row r="141" spans="2:12" ht="12" customHeight="1">
      <c r="B141" s="15" t="s">
        <v>94</v>
      </c>
      <c r="C141" s="15"/>
      <c r="D141" s="1"/>
      <c r="E141" s="1"/>
      <c r="F141" s="1"/>
    </row>
    <row r="142" spans="2:12" ht="12" customHeight="1">
      <c r="B142" s="111" t="s">
        <v>102</v>
      </c>
      <c r="C142" s="3"/>
      <c r="D142" t="str">
        <f>IF(AND(MID(D145,1,2)="残置",MID(D146,3,1)&lt;&gt;"Ⅰ"),"【注意】 残置アンカーは、防食Ⅰ限定です。EHDアンカーに変更してください。","")</f>
        <v/>
      </c>
      <c r="E142" s="1"/>
      <c r="F142" s="1"/>
      <c r="G142" s="8"/>
      <c r="H142" s="8"/>
      <c r="I142" s="102"/>
      <c r="J142" s="28"/>
    </row>
    <row r="143" spans="2:12" ht="12" customHeight="1">
      <c r="B143" s="15" t="s">
        <v>40</v>
      </c>
      <c r="C143" s="3"/>
      <c r="D143" s="1"/>
      <c r="E143" s="1"/>
      <c r="F143" s="1"/>
      <c r="G143" s="15" t="s">
        <v>54</v>
      </c>
      <c r="H143" s="15"/>
      <c r="I143" s="102"/>
      <c r="J143" s="28"/>
    </row>
    <row r="144" spans="2:12" ht="12" customHeight="1">
      <c r="B144" s="2" t="s">
        <v>53</v>
      </c>
      <c r="C144" s="2" t="s">
        <v>21</v>
      </c>
      <c r="D144" s="2" t="s">
        <v>22</v>
      </c>
      <c r="E144" s="2" t="s">
        <v>84</v>
      </c>
      <c r="F144" s="17"/>
      <c r="G144" s="2" t="s">
        <v>41</v>
      </c>
      <c r="H144" s="97" t="s">
        <v>59</v>
      </c>
      <c r="I144" s="49" t="s">
        <v>44</v>
      </c>
      <c r="J144" s="2" t="s">
        <v>21</v>
      </c>
      <c r="K144" s="49" t="s">
        <v>29</v>
      </c>
      <c r="L144" s="2" t="s">
        <v>28</v>
      </c>
    </row>
    <row r="145" spans="2:12" ht="12" customHeight="1">
      <c r="B145" s="51" t="s">
        <v>37</v>
      </c>
      <c r="C145" s="50" t="s">
        <v>38</v>
      </c>
      <c r="D145" s="70" t="s">
        <v>63</v>
      </c>
      <c r="E145" s="137" t="s">
        <v>71</v>
      </c>
      <c r="F145" s="17"/>
      <c r="G145" s="86" t="str">
        <f>IF(D157=0,"",G146)</f>
        <v/>
      </c>
      <c r="H145" s="87" t="str">
        <f>IF(D157=0,"",H147&amp;" (背面管部）")</f>
        <v/>
      </c>
      <c r="I145" s="88" t="str">
        <f>IF(D157=0,"",D158)</f>
        <v/>
      </c>
      <c r="J145" s="89" t="str">
        <f>IF(D157=0,"","m")</f>
        <v/>
      </c>
      <c r="K145" s="90" t="str">
        <f>IF(D157=0,"",D157)</f>
        <v/>
      </c>
      <c r="L145" s="29" t="str">
        <f>IF(D157=0,"",D150*K145)</f>
        <v/>
      </c>
    </row>
    <row r="146" spans="2:12" ht="12" customHeight="1">
      <c r="B146" s="52" t="s">
        <v>39</v>
      </c>
      <c r="C146" s="91" t="s">
        <v>38</v>
      </c>
      <c r="D146" s="71" t="s">
        <v>82</v>
      </c>
      <c r="E146" s="7"/>
      <c r="F146" s="17"/>
      <c r="G146" s="68" t="s">
        <v>43</v>
      </c>
      <c r="H146" s="68" t="s">
        <v>72</v>
      </c>
      <c r="I146" s="88" t="str" cm="1">
        <f t="array" ref="I146">_xlfn.IFS(AND(G146&lt;&gt;"非削孔",G146&lt;&gt;"無設定"),D160,G146="非削孔",IF(MID(B147,1,3)="土留め","非削孔","箱抜き"),G146="無設定","無設定")</f>
        <v>非削孔</v>
      </c>
      <c r="J146" s="23" t="str">
        <f>IF(G146="無設定","","m")</f>
        <v>m</v>
      </c>
      <c r="K146" s="69">
        <v>0.8</v>
      </c>
      <c r="L146" s="30">
        <f>D150*K146</f>
        <v>3.2</v>
      </c>
    </row>
    <row r="147" spans="2:12" ht="12" customHeight="1">
      <c r="B147" s="115" t="s">
        <v>70</v>
      </c>
      <c r="C147" s="91" t="s">
        <v>38</v>
      </c>
      <c r="D147" s="83" t="s">
        <v>52</v>
      </c>
      <c r="E147" s="139" t="str">
        <f>IF(OR(MID(B147,1,3)&lt;&gt;"土留め",D147="なし"),"","腹起し")</f>
        <v>腹起し</v>
      </c>
      <c r="F147" s="19"/>
      <c r="G147" s="68" t="s">
        <v>92</v>
      </c>
      <c r="H147" s="68" t="s">
        <v>103</v>
      </c>
      <c r="I147" s="88" cm="1">
        <f t="array" ref="I147">_xlfn.IFS(AND(G147&lt;&gt;"非削孔",G147&lt;&gt;"無設定"),D160,G147="非削孔","箱抜き",G147="無設定","無設定")</f>
        <v>135</v>
      </c>
      <c r="J147" s="23" t="str">
        <f t="shared" ref="J147" si="5">IF(G147="無設定","","m")</f>
        <v>m</v>
      </c>
      <c r="K147" s="69">
        <v>16.5</v>
      </c>
      <c r="L147" s="30">
        <f>D150*K147</f>
        <v>66</v>
      </c>
    </row>
    <row r="148" spans="2:12" ht="12" customHeight="1">
      <c r="B148" s="114" t="str">
        <f>IF(OR(MID(B147,1,3)&lt;&gt;"土留め",D147="なし"),"",B147&amp;"の種類")</f>
        <v>土留め台座の種類</v>
      </c>
      <c r="C148" s="91" t="s">
        <v>38</v>
      </c>
      <c r="D148" s="113" t="s">
        <v>89</v>
      </c>
      <c r="E148" s="122" t="s">
        <v>67</v>
      </c>
      <c r="F148" s="21"/>
      <c r="G148" s="68" t="s">
        <v>48</v>
      </c>
      <c r="H148" s="68"/>
      <c r="I148" s="88" t="str" cm="1">
        <f t="array" ref="I148">_xlfn.IFS(AND(G148&lt;&gt;"非削孔",G148&lt;&gt;"無設定"),D160,G148="非削孔","箱抜き",G148="無設定","無設定")</f>
        <v>無設定</v>
      </c>
      <c r="J148" s="23" t="str">
        <f>IF(G148="無設定","","m")</f>
        <v/>
      </c>
      <c r="K148" s="69">
        <v>0</v>
      </c>
      <c r="L148" s="30">
        <f>D150*K148</f>
        <v>0</v>
      </c>
    </row>
    <row r="149" spans="2:12" ht="12" customHeight="1">
      <c r="B149" s="147" t="s">
        <v>50</v>
      </c>
      <c r="C149" s="91" t="s">
        <v>38</v>
      </c>
      <c r="D149" s="83" t="s">
        <v>51</v>
      </c>
      <c r="E149" s="19"/>
      <c r="F149" s="21"/>
      <c r="G149" s="68" t="s">
        <v>48</v>
      </c>
      <c r="H149" s="68"/>
      <c r="I149" s="88" t="str" cm="1">
        <f t="array" ref="I149">_xlfn.IFS(AND(G149&lt;&gt;"非削孔",G149&lt;&gt;"無設定"),D160,G149="非削孔","箱抜き",G149="無設定","無設定")</f>
        <v>無設定</v>
      </c>
      <c r="J149" s="23" t="str">
        <f t="shared" ref="J149:J155" si="6">IF(G149="無設定","","m")</f>
        <v/>
      </c>
      <c r="K149" s="69">
        <v>0</v>
      </c>
      <c r="L149" s="30">
        <f>D150*K149</f>
        <v>0</v>
      </c>
    </row>
    <row r="150" spans="2:12" ht="12" customHeight="1">
      <c r="B150" s="22" t="s">
        <v>25</v>
      </c>
      <c r="C150" s="23" t="s">
        <v>24</v>
      </c>
      <c r="D150" s="92">
        <v>4</v>
      </c>
      <c r="E150" s="21"/>
      <c r="F150" s="21"/>
      <c r="G150" s="68" t="s">
        <v>48</v>
      </c>
      <c r="H150" s="68"/>
      <c r="I150" s="88" t="str" cm="1">
        <f t="array" ref="I150">_xlfn.IFS(AND(G150&lt;&gt;"非削孔",G150&lt;&gt;"無設定"),D160,G150="非削孔","箱抜き",G150="無設定","無設定")</f>
        <v>無設定</v>
      </c>
      <c r="J150" s="23" t="str">
        <f t="shared" si="6"/>
        <v/>
      </c>
      <c r="K150" s="69">
        <v>0</v>
      </c>
      <c r="L150" s="30">
        <f>D150*K150</f>
        <v>0</v>
      </c>
    </row>
    <row r="151" spans="2:12" ht="12" customHeight="1">
      <c r="B151" s="22" t="s">
        <v>108</v>
      </c>
      <c r="C151" s="23" t="s">
        <v>23</v>
      </c>
      <c r="D151" s="47">
        <v>10</v>
      </c>
      <c r="E151" s="21"/>
      <c r="F151" s="21"/>
      <c r="G151" s="68" t="s">
        <v>61</v>
      </c>
      <c r="H151" s="68"/>
      <c r="I151" s="88" t="str" cm="1">
        <f t="array" ref="I151">_xlfn.IFS(AND(G151&lt;&gt;"非削孔",G151&lt;&gt;"無設定"),D160,G151="非削孔","箱抜き",G151="無設定","無設定")</f>
        <v>無設定</v>
      </c>
      <c r="J151" s="23" t="str">
        <f t="shared" si="6"/>
        <v/>
      </c>
      <c r="K151" s="69">
        <v>0</v>
      </c>
      <c r="L151" s="30">
        <f>D150*K151</f>
        <v>0</v>
      </c>
    </row>
    <row r="152" spans="2:12" ht="12" customHeight="1">
      <c r="B152" s="22" t="s">
        <v>36</v>
      </c>
      <c r="C152" s="23" t="s">
        <v>23</v>
      </c>
      <c r="D152" s="47">
        <v>6.5</v>
      </c>
      <c r="E152" s="21"/>
      <c r="F152" s="21"/>
      <c r="G152" s="68" t="s">
        <v>48</v>
      </c>
      <c r="H152" s="68"/>
      <c r="I152" s="88" t="str" cm="1">
        <f t="array" ref="I152">_xlfn.IFS(AND(G152&lt;&gt;"非削孔",G152&lt;&gt;"無設定"),D160,G152="非削孔","箱抜き",G152="無設定","無設定")</f>
        <v>無設定</v>
      </c>
      <c r="J152" s="23" t="str">
        <f t="shared" si="6"/>
        <v/>
      </c>
      <c r="K152" s="69">
        <v>0</v>
      </c>
      <c r="L152" s="30">
        <f>D150*K152</f>
        <v>0</v>
      </c>
    </row>
    <row r="153" spans="2:12" ht="12" customHeight="1">
      <c r="B153" s="148" t="str" cm="1">
        <f t="array" ref="B153">"頭部自由長("&amp;_xlfn.IFS(AND(MID(B147,1,3)="土留め",D147="あり"),"腹起し+台座",AND(MID(B147,1,3)="土留め",D147="なし"),"台座なし",AND(MID(B147,1,3)="構造物",D147="あり"),"壁面台座",AND(MID(B147,1,3)="構造物",D147="なし"),"台座なし",AND(MID(B147,1,3)="のり面",D147="あり"),"角度台座＋受圧体",AND(MID(B147,1,3)="のり面",D147="なし"),"受圧体")&amp;")　"&amp;"Lfh"</f>
        <v>頭部自由長(腹起し+台座)　Lfh</v>
      </c>
      <c r="C153" s="23" t="s">
        <v>23</v>
      </c>
      <c r="D153" s="47">
        <v>0.8</v>
      </c>
      <c r="E153" s="21"/>
      <c r="F153" s="21"/>
      <c r="G153" s="68" t="s">
        <v>48</v>
      </c>
      <c r="H153" s="68"/>
      <c r="I153" s="88" t="str" cm="1">
        <f t="array" ref="I153">_xlfn.IFS(AND(G153&lt;&gt;"非削孔",G153&lt;&gt;"無設定"),D160,G153="非削孔","箱抜き",G153="無設定","無設定")</f>
        <v>無設定</v>
      </c>
      <c r="J153" s="23" t="str">
        <f t="shared" si="6"/>
        <v/>
      </c>
      <c r="K153" s="69">
        <v>0</v>
      </c>
      <c r="L153" s="30">
        <f>D150*K153</f>
        <v>0</v>
      </c>
    </row>
    <row r="154" spans="2:12" ht="12" customHeight="1">
      <c r="B154" s="146" t="s">
        <v>69</v>
      </c>
      <c r="C154" s="23" t="s">
        <v>23</v>
      </c>
      <c r="D154" s="24">
        <f>IF(D145="　","──",IF(MID(D145,6,2)*IF(MID(D145,4,1)="5",183,261)*IF(MID(D146,3,1)="Ⅰ",0.65,0.6)*IF(MID(D145,1,2)="除去",0.9,1)&lt;=700,1,1.5))</f>
        <v>1</v>
      </c>
      <c r="E154" s="120"/>
      <c r="G154" s="68" t="s">
        <v>48</v>
      </c>
      <c r="H154" s="68"/>
      <c r="I154" s="88" t="str" cm="1">
        <f t="array" ref="I154">_xlfn.IFS(AND(G154&lt;&gt;"非削孔",G154&lt;&gt;"無設定"),D160,G154="非削孔","箱抜き",G154="無設定","無設定")</f>
        <v>無設定</v>
      </c>
      <c r="J154" s="23" t="str">
        <f t="shared" si="6"/>
        <v/>
      </c>
      <c r="K154" s="69">
        <v>0</v>
      </c>
      <c r="L154" s="30">
        <f>D150*K154</f>
        <v>0</v>
      </c>
    </row>
    <row r="155" spans="2:12" ht="12" customHeight="1">
      <c r="B155" s="6" t="s">
        <v>109</v>
      </c>
      <c r="C155" s="23" t="s">
        <v>23</v>
      </c>
      <c r="D155" s="60">
        <f>IF(D145="　","──",SUM(D151:D154))</f>
        <v>18.3</v>
      </c>
      <c r="E155" s="121"/>
      <c r="F155" s="19"/>
      <c r="G155" s="99" t="str" cm="1">
        <f t="array" ref="G155">INDEX(G146:I154,MATCH("無設定",G146:G154,0)-1,MATCH(G144,G144:I144,0))</f>
        <v>砂質土</v>
      </c>
      <c r="H155" s="100" t="str" cm="1">
        <f t="array" ref="H155">INDEX(G146:I154,MATCH("無設定",G146:G154,0)-1,MATCH(H144,G144:I144,0))&amp;"　(先端削孔長)"</f>
        <v>沖積層～洪積層　(先端削孔長)</v>
      </c>
      <c r="I155" s="88" cm="1">
        <f t="array" ref="I155">INDEX(G146:I154,MATCH("無設定",G146:G154,0)-1,MATCH(I144,G144:I144,0))</f>
        <v>135</v>
      </c>
      <c r="J155" s="23" t="str">
        <f t="shared" si="6"/>
        <v>m</v>
      </c>
      <c r="K155" s="98">
        <f>D159</f>
        <v>0.2</v>
      </c>
      <c r="L155" s="78">
        <f>IFERROR(D150*K155,"")</f>
        <v>0.8</v>
      </c>
    </row>
    <row r="156" spans="2:12" ht="12" customHeight="1">
      <c r="B156" s="22" t="s">
        <v>75</v>
      </c>
      <c r="C156" s="23" t="s">
        <v>35</v>
      </c>
      <c r="D156" s="84">
        <f>IF(D145="　","──",IF(MID(D145,1,2)="除去",0,0.2))</f>
        <v>0</v>
      </c>
      <c r="E156" s="123"/>
      <c r="F156" s="19"/>
      <c r="G156" s="72"/>
      <c r="H156" s="75" t="s">
        <v>45</v>
      </c>
      <c r="I156" s="103"/>
      <c r="J156" s="18" t="s">
        <v>23</v>
      </c>
      <c r="K156" s="74">
        <f>SUMIFS(K145:K155,G145:G155,"&lt;&gt;非削孔",G145:G155,"&lt;&gt;無設定")</f>
        <v>16.7</v>
      </c>
      <c r="L156" s="95">
        <f>SUMIFS(L145:L155,G145:G155,"&lt;&gt;非削孔",G145:G155,"&lt;&gt;無設定")</f>
        <v>66.8</v>
      </c>
    </row>
    <row r="157" spans="2:12" ht="12" customHeight="1">
      <c r="B157" s="22" t="s">
        <v>73</v>
      </c>
      <c r="C157" s="23" t="s">
        <v>35</v>
      </c>
      <c r="D157" s="85">
        <v>0</v>
      </c>
      <c r="E157" s="123"/>
      <c r="F157" s="19"/>
      <c r="G157" s="73"/>
      <c r="H157" s="76" t="s">
        <v>47</v>
      </c>
      <c r="I157" s="104"/>
      <c r="J157" s="79" t="s">
        <v>46</v>
      </c>
      <c r="K157" s="77" t="str">
        <f>IF(D145="　","",IF(SUM(D151:D153,D157,D159)=K156+SUMIFS(K145:K155,G145:G155,"=非削孔"),"OK","NG"))</f>
        <v>OK</v>
      </c>
      <c r="L157" s="145" t="str">
        <f>IF(K157&lt;&gt;"NG","──",K156+SUMIFS(K145:K155,G145:G155,"=非削孔")-SUM(D151:D153,D157,D159))</f>
        <v>──</v>
      </c>
    </row>
    <row r="158" spans="2:12" ht="12" customHeight="1">
      <c r="B158" s="22" t="str">
        <f>IF(D145="　","",IF(D157=0,"","頭部背面管削孔径　Dh"))</f>
        <v/>
      </c>
      <c r="C158" s="23" t="str">
        <f>IF(D145="　","",IF(D157=0,"","mm"))</f>
        <v/>
      </c>
      <c r="D158" s="93" t="str" cm="1">
        <f t="array" ref="D158">IF(D145="　","",IF(D157=0,"",IF(MID(D145,4,1)="5",_xlfn.IFS(VALUE(MID(D145,6,2))&lt;7,115,VALUE(MID(D145,6,2))&gt;6,135),"未設定")))</f>
        <v/>
      </c>
      <c r="E158" s="121"/>
      <c r="F158" s="19"/>
      <c r="G158" s="94" t="s">
        <v>58</v>
      </c>
      <c r="H158" s="252" t="s">
        <v>62</v>
      </c>
      <c r="I158" s="253"/>
      <c r="J158" s="253"/>
      <c r="K158" s="253"/>
      <c r="L158" s="254"/>
    </row>
    <row r="159" spans="2:12" ht="12" customHeight="1">
      <c r="B159" s="25" t="s">
        <v>74</v>
      </c>
      <c r="C159" s="26" t="s">
        <v>23</v>
      </c>
      <c r="D159" s="27">
        <f>IF(MID(D145,1,2)="残置",0.25,0.2)</f>
        <v>0.2</v>
      </c>
      <c r="E159" s="117"/>
      <c r="F159" s="1"/>
      <c r="G159" s="8"/>
      <c r="H159" s="8"/>
      <c r="I159" s="102"/>
    </row>
    <row r="160" spans="2:12" ht="12" customHeight="1">
      <c r="B160" s="25" t="s">
        <v>57</v>
      </c>
      <c r="C160" s="26" t="s">
        <v>32</v>
      </c>
      <c r="D160" s="82" cm="1">
        <f t="array" ref="D160">IF(D145="　","──",IF(E160="　",_xlfn.IFS(MID(D145,1,2)="除去",IF(MID(D145,4,1)="5",135,165),MID(D145,1,2)="残置",IF(MID(D145,4,1)="5",IF(VALUE(MID(D145,6,2))&lt;8,115,135),IF(VALUE(MID(D145,6,2))&lt;10,146,165))),E160))</f>
        <v>135</v>
      </c>
      <c r="E160" s="142" t="s">
        <v>71</v>
      </c>
      <c r="F160" s="1"/>
      <c r="G160" s="8"/>
      <c r="H160" s="8"/>
      <c r="I160" s="102"/>
    </row>
    <row r="161" spans="2:12" ht="12" customHeight="1">
      <c r="F161" s="1"/>
      <c r="G161" s="8"/>
      <c r="H161" s="8"/>
      <c r="I161" s="102"/>
    </row>
    <row r="162" spans="2:12" ht="12" customHeight="1">
      <c r="B162" s="15" t="str">
        <f>"■"&amp;MID(B140,2,17)</f>
        <v>■短期仮設：KJS除去アンカー数量表</v>
      </c>
      <c r="C162" s="3"/>
      <c r="D162" s="1"/>
      <c r="E162" s="1"/>
      <c r="F162" s="1"/>
      <c r="G162" s="8"/>
      <c r="H162" s="8"/>
      <c r="I162" s="102"/>
    </row>
    <row r="163" spans="2:12" ht="12" customHeight="1">
      <c r="B163" s="2" t="s">
        <v>17</v>
      </c>
      <c r="C163" s="43"/>
      <c r="D163" s="134"/>
      <c r="E163" s="61" t="s">
        <v>78</v>
      </c>
      <c r="F163" s="135"/>
      <c r="G163" s="16"/>
      <c r="H163" s="61" t="s">
        <v>42</v>
      </c>
      <c r="I163" s="97"/>
      <c r="J163" s="2" t="s">
        <v>21</v>
      </c>
      <c r="K163" s="49" t="s">
        <v>29</v>
      </c>
      <c r="L163" s="2" t="s">
        <v>28</v>
      </c>
    </row>
    <row r="164" spans="2:12" ht="12" customHeight="1">
      <c r="B164" s="4" t="str">
        <f>IF(MID(D145,1,2)="除去","アンボンド","")&amp;"PCストランド"</f>
        <v>アンボンドPCストランド</v>
      </c>
      <c r="C164" s="39" t="str">
        <f>IF(D145="　","",D145&amp;"("&amp;MID(D145,6,2)&amp;IF(MID(D145,4,1)="5","φ12.7","φ15.2")&amp;")")</f>
        <v>除去J5-6(6φ12.7)</v>
      </c>
      <c r="D164" s="32"/>
      <c r="E164" s="32"/>
      <c r="F164" s="33"/>
      <c r="G164" s="143" t="str">
        <f>"W="&amp;IF(MID(D145,1,2)="除去","(ﾃﾝﾄﾞﾝ長+ｱﾝｶｰ体長×(1/鋼線本数-0.5))","(テンドン長+先端長0.2m)")&amp;"×鋼線本数×"&amp;IF(MID(D145,4,1)="5","0.774","1.101")&amp;"kg/m"</f>
        <v>W=(ﾃﾝﾄﾞﾝ長+ｱﾝｶｰ体長×(1/鋼線本数-0.5))×鋼線本数×0.774kg/m</v>
      </c>
      <c r="H164" s="62"/>
      <c r="I164" s="105"/>
      <c r="J164" s="5" t="s">
        <v>11</v>
      </c>
      <c r="K164" s="29">
        <f>IF(D145="　","",MROUND(IF(MID(D145,1,2)="除去",D155+D152*(1/MID(D145,6,2)-0.5),D155+D156)*MID(D145,6,2)*IF(MID(D145,4,1)="5","0.774","1.101"),0.01))</f>
        <v>74.92</v>
      </c>
      <c r="L164" s="29">
        <f>IFERROR(D150*K164,"")</f>
        <v>299.68</v>
      </c>
    </row>
    <row r="165" spans="2:12" ht="12" customHeight="1">
      <c r="B165" s="6" t="s">
        <v>20</v>
      </c>
      <c r="C165" s="34"/>
      <c r="D165" s="35"/>
      <c r="E165" s="35"/>
      <c r="F165" s="36"/>
      <c r="G165" s="56" t="str">
        <f>"L=テンドン長"&amp;IF(MID(D145,1,2)="除去","+アンカー体長×(1/鋼線本数-0.5))","")</f>
        <v>L=テンドン長+アンカー体長×(1/鋼線本数-0.5))</v>
      </c>
      <c r="H165" s="63"/>
      <c r="I165" s="106"/>
      <c r="J165" s="7" t="s">
        <v>12</v>
      </c>
      <c r="K165" s="30">
        <f>IF(D145="　","",MROUND(D155+IF(MID(D145,1,2)="除去",D152*(1/MID(D145,6,2)-0.5),0),0.1))</f>
        <v>16.100000000000001</v>
      </c>
      <c r="L165" s="30">
        <f>IFERROR(D150*K165,"")</f>
        <v>64.400000000000006</v>
      </c>
    </row>
    <row r="166" spans="2:12" ht="12" customHeight="1">
      <c r="B166" s="6" t="str">
        <f>IF(MID(D145,1,2)="除去","耐荷体","注入ホース")</f>
        <v>耐荷体</v>
      </c>
      <c r="C166" s="34" t="str" cm="1">
        <f t="array" ref="C166">IF(D145="　","",IF(MID(D145,1,2)="除去",IF(MID(D145,1,2)="除去",MID(D145,3,2)&amp;"用Bタイプ、FCD450相当"&amp;_xlfn.IFS(MID(D146,3,1)="Ⅰ","",MID(D146,3,1)="Ⅱ","、亜鉛めっき処理",MID(D146,3,1)="Ⅲ","、ｱﾙﾐﾅｲｽﾞ処理"),""),"1/2″"))</f>
        <v>J5用Bタイプ、FCD450相当</v>
      </c>
      <c r="D166" s="35"/>
      <c r="E166" s="35"/>
      <c r="F166" s="36"/>
      <c r="G166" s="127" t="str">
        <f>IF(MID(D145,1,2)="除去","N="&amp;0.5*MID(D145,6,2),"L=テンドン長")</f>
        <v>N=3</v>
      </c>
      <c r="H166" s="63"/>
      <c r="I166" s="106"/>
      <c r="J166" s="7" t="str">
        <f>IF(MID(D145,1,2)="除去","個","m")</f>
        <v>個</v>
      </c>
      <c r="K166" s="130" t="str">
        <f>IF(D145="　","",IF(MID(D145,1,2)="除去",MID(G166,3,2),MROUND(D155,0.1)))</f>
        <v>3</v>
      </c>
      <c r="L166" s="30">
        <f>IFERROR(D150*K166,"")</f>
        <v>12</v>
      </c>
    </row>
    <row r="167" spans="2:12" ht="12" customHeight="1">
      <c r="B167" s="109" t="str">
        <f>IF(MID(D145,1,2)="除去","結束テープ","パイロットキャップ")</f>
        <v>結束テープ</v>
      </c>
      <c r="C167" s="34" t="str" cm="1">
        <f t="array" ref="C167">IF(D145="　","",IF(MID(D145,1,2)="除去","","Ｊ"&amp;IF(MID(D145,4,1)="5",_xlfn.IFS(VALUE(MID(D145,6,2))&lt;5,"5-4",VALUE(MID(D145,6,2))&lt;8,"5-7",VALUE(MID(D145,6,2))&lt;10,"5-9",VALUE(MID(D145,6,2))&gt;9,"5-12"),_xlfn.IFS(VALUE(MID(D145,6,2))&lt;10,"6-9",VALUE(MID(D145,6,2))&lt;13,"6-12",VALUE(MID(D145,6,2))&gt;12,"6-19"))&amp;"用、"&amp;IF(AND(MID(D145,4,1)="6",VALUE(MID(D145,6,2))&gt;9),"AC2A","ポリプロピレン")))</f>
        <v/>
      </c>
      <c r="D167" s="35"/>
      <c r="E167" s="35"/>
      <c r="F167" s="36"/>
      <c r="G167" s="52" t="str">
        <f>IF(MID(D145,1,2)="除去","L=(自由長+頭部自由長+緊張余長)÷2.0mピッチ","N=1")</f>
        <v>L=(自由長+頭部自由長+緊張余長)÷2.0mピッチ</v>
      </c>
      <c r="H167" s="110"/>
      <c r="I167" s="53"/>
      <c r="J167" s="7" t="str">
        <f>IF(MID(D145,1,2)="除去","m","個")</f>
        <v>m</v>
      </c>
      <c r="K167" s="130">
        <f>IF(D145="　","",IF(MID(D145,1,2)="除去",MROUND(SUM(D151,D153:D154)/2,0.01),MID(G167,3,2)))</f>
        <v>5.9</v>
      </c>
      <c r="L167" s="30">
        <f>IFERROR(D150*K167,"")</f>
        <v>23.6</v>
      </c>
    </row>
    <row r="168" spans="2:12" ht="12" customHeight="1">
      <c r="B168" s="109" t="str">
        <f>IF(MID(D145,1,2)="除去",IF(D146="防食Ⅰ","アンカープレート","溝付アンカープレート"),"スペーサ")</f>
        <v>アンカープレート</v>
      </c>
      <c r="C168" s="96" t="str" cm="1">
        <f t="array" ref="C168">IF(D145="　","",_xlfn.SINGLE(IF(MID(D145,1,2)="除去","J"&amp;_xlfn.SINGLE(IF(MID(D145,4,1)="5",_xlfn.IFS(VALUE(MID(D145,6,2))&lt;3,"5-2",VALUE(MID(D145,6,2))&lt;5,"5-4",VALUE(MID(D145,6,2))&lt;7,"5-7",VALUE(MID(D145,6,2))&lt;10,"5-9",VALUE(MID(D145,6,2))&gt;9,"5-12"),_xlfn.IFS(VALUE(MID(D145,6,2))&lt;13,"6-12")))&amp;"用、"&amp;IF(D146="防食Ⅰ","SS400相当","SS400・STKM13A相当、防食：")&amp;_xlfn.IFS(D146="防食Ⅰ","無処理",D146="防食Ⅱ","亜鉛めっき処理",D146="防食Ⅲ","ｱﾙﾐﾅｲｽﾞ処理"),"J"&amp;IF(MID(D145,4,1)="5",_xlfn.IFS(VALUE(MID(D145,6,2))&lt;8,"5-7",VALUE(MID(D145,6,2))&gt;7,"5-12"),_xlfn.IFS(VALUE(MID(D145,6,2))&lt;8,"6-7",VALUE(MID(D145,6,2))&lt;13,"6-12",VALUE(MID(D145,6,2))&gt;12,"6-19"))&amp;"用、"&amp;IF(AND(MID(D145,4,1)="6",VALUE(MID(D145,6,2))&gt;9),"AC2B","ポリプロピレン"))))</f>
        <v>J5-7用、SS400相当無処理</v>
      </c>
      <c r="D168" s="35"/>
      <c r="E168" s="35"/>
      <c r="F168" s="36"/>
      <c r="G168" s="127" t="str">
        <f>IF(MID(D145,1,2)="除去","N=1","N=アンカー体÷1.0mピッチ")</f>
        <v>N=1</v>
      </c>
      <c r="H168" s="63"/>
      <c r="I168" s="106"/>
      <c r="J168" s="7" t="str">
        <f>IF(MID(D145,1,2)="除去","枚","m")</f>
        <v>枚</v>
      </c>
      <c r="K168" s="130" t="str">
        <f>IF(D145="　","",IF(D145="　","",IF(MID(D145,1,2)="除去",MID(G168,3,2),MROUND(D152/1,1))))</f>
        <v>1</v>
      </c>
      <c r="L168" s="30">
        <f>IFERROR(D150*K168,"")</f>
        <v>4</v>
      </c>
    </row>
    <row r="169" spans="2:12" ht="12" customHeight="1">
      <c r="B169" s="109" t="str">
        <f>IF(MID(D145,1,2)="除去","アンカーヘッド","結束バンド")</f>
        <v>アンカーヘッド</v>
      </c>
      <c r="C169" s="34" t="str">
        <f>IF(D145="　","",IF(MID(D145,1,2)="除去","J"&amp;IF(MID(D145,4,1)="5",_xlfn.IFS(VALUE(MID(D145,6,2))&lt;3,"5-2",VALUE(MID(D145,6,2))&lt;4,"5-3",VALUE(MID(D145,6,2))&lt;5,"5-4",VALUE(MID(D145,6,2))&lt;8,"5-7",VALUE(MID(D145,6,2))&lt;10,"5-9",VALUE(MID(D145,6,2))&gt;9,"5-12"),_xlfn.IFS(VALUE(MID(D145,6,2))&lt;8,"6-7",VALUE(MID(D145,6,2))&gt;7,"6-12"))&amp;"用、S45C相当","AB350、66ナイロン"))</f>
        <v>J5-7用、S45C相当</v>
      </c>
      <c r="D169" s="35"/>
      <c r="E169" s="35"/>
      <c r="F169" s="36"/>
      <c r="G169" s="127" t="str">
        <f>IF(MID(D145,1,2)="除去","N=1","N=スペーサ数×2")</f>
        <v>N=1</v>
      </c>
      <c r="H169" s="63"/>
      <c r="I169" s="106"/>
      <c r="J169" s="7" t="str">
        <f>IF(MID(D145,1,2)="除去","個","本")</f>
        <v>個</v>
      </c>
      <c r="K169" s="130" t="str">
        <f>IF(D145="　","",IF(MID(D145,1,2)="除去",MID(G169,3,2),2*K168))</f>
        <v>1</v>
      </c>
      <c r="L169" s="30">
        <f>IFERROR(D150*K169,"")</f>
        <v>4</v>
      </c>
    </row>
    <row r="170" spans="2:12" ht="12" customHeight="1">
      <c r="B170" s="6" t="str">
        <f>IF(MID(D145,1,2)="除去","くさび","ポリホース")</f>
        <v>くさび</v>
      </c>
      <c r="C170" s="34" t="str">
        <f>IF(D145="　","",IF(MID(D145,1,2)="除去",MID(D145,3,5)&amp;"用、"&amp;IF(MID(D145,4,1)="5","φ12.7","φ15.2")&amp;"、SCM415相当","1-1/2″"))</f>
        <v>J5-6用、φ12.7、SCM415相当</v>
      </c>
      <c r="D170" s="35"/>
      <c r="E170" s="35"/>
      <c r="F170" s="36"/>
      <c r="G170" s="127" t="str">
        <f>IF(MID(D145,1,2)="除去","N="&amp;MID(D145,6,2),"L=自由長-0.5m")</f>
        <v>N=6</v>
      </c>
      <c r="H170" s="63"/>
      <c r="I170" s="106"/>
      <c r="J170" s="7" t="str">
        <f>IF(MID(D145,1,2)="除去","組","m")</f>
        <v>組</v>
      </c>
      <c r="K170" s="130" t="str">
        <f>IF(D145="　","",IF(MID(D145,1,2)="除去",MID(G170,3,2),D151+D153-0.5))</f>
        <v>6</v>
      </c>
      <c r="L170" s="30">
        <f>IFERROR(D150*K170,"")</f>
        <v>24</v>
      </c>
    </row>
    <row r="171" spans="2:12" ht="12" customHeight="1">
      <c r="B171" s="6" t="str">
        <f>IF(MID(D145,1,2)="除去",IF(D146="防食Ⅰ","","ヘッドキャップ"),"アンカープレート")</f>
        <v/>
      </c>
      <c r="C171" s="96" t="str" cm="1">
        <f t="array" ref="C171">IF(D145="　","",IF(MID(D145,1,2)="除去",IF(D146="防食Ⅰ","","J"&amp;_xlfn.SINGLE(IF(MID(D145,4,1)="5",_xlfn.IFS(VALUE(MID(D145,6,2))&lt;5,"5-4",VALUE(MID(D145,6,2))&lt;8,"5-7",VALUE(MID(D145,6,2))&gt;7,"5-12"),"未設定"))&amp;"RN用、AC4C相当"&amp;IF(D146="防食Ⅱ","","、防食：タケコート処理")),"J"&amp;_xlfn.SINGLE(IF(MID(D145,4,1)="5",_xlfn.IFS(VALUE(MID(D145,6,2))&lt;3,"5-2",VALUE(MID(D145,6,2))&lt;5,"5-4",VALUE(MID(D145,6,2))&lt;7,"5-7",VALUE(MID(D145,6,2))&lt;10,"5-9",VALUE(MID(D145,6,2))&gt;9,"5-12"),_xlfn.IFS(VALUE(MID(D145,6,2))&lt;13,"6-12")))&amp;"用、"&amp;IF(D146="防食Ⅰ","SS400相当","SS400・STKM13A相当、防食：")&amp;_xlfn.IFS(D146="防食Ⅰ","、防食：無処理",D146="防食Ⅱ","、防食：亜鉛めっき",D146="防食Ⅲ","、防食：ｱﾙﾐﾅｲｽﾞ")))</f>
        <v/>
      </c>
      <c r="D171" s="44"/>
      <c r="E171" s="44"/>
      <c r="F171" s="45"/>
      <c r="G171" s="52" t="str">
        <f>IF(MID(D145,1,2)="除去",IF(D146="防食Ⅰ","","N=1"),"N=1")</f>
        <v/>
      </c>
      <c r="H171" s="64"/>
      <c r="I171" s="53"/>
      <c r="J171" s="7" t="str">
        <f>IF(MID(D145,1,2)="除去",IF(D146="防食Ⅰ","","個"),"枚")</f>
        <v/>
      </c>
      <c r="K171" s="130" t="str">
        <f>IF(D145="　","",IF(MID(D145,1,2)="除去",MID(G171,3,2),MID(G171,3,2)))</f>
        <v/>
      </c>
      <c r="L171" s="30" t="str">
        <f>IFERROR(D150*K171,"")</f>
        <v/>
      </c>
    </row>
    <row r="172" spans="2:12" ht="12" customHeight="1">
      <c r="B172" s="6" t="str">
        <f>IF(MID(D145,1,2)="除去",IF(D146="防食Ⅰ","","頭部防錆油"),"アンカーヘッド")</f>
        <v/>
      </c>
      <c r="C172" s="34" t="str">
        <f>IF(D145="　","",IF(MID(D145,1,2)="除去",IF(D146="防食Ⅰ","","PCコートC"),"J"&amp;IF(MID(D145,4,1)="5",_xlfn.IFS(VALUE(MID(D145,6,2))&lt;3,"5-2",VALUE(MID(D145,6,2))&lt;4,"5-3",VALUE(MID(D145,6,2))&lt;5,"5-4",VALUE(MID(D145,6,2))&lt;8,"5-7",VALUE(MID(D145,6,2))&lt;10,"5-9",VALUE(MID(D145,6,2))&gt;9,"5-12"),_xlfn.IFS(VALUE(MID(D145,6,2))&lt;8,"6-7",VALUE(MID(D145,6,2))&gt;7,"6-12"))&amp;"用、S45C相当"))</f>
        <v/>
      </c>
      <c r="D172" s="35"/>
      <c r="E172" s="35"/>
      <c r="F172" s="36"/>
      <c r="G172" s="52" t="str" cm="1">
        <f t="array" ref="G172">IF(MID(D145,1,2)="除去",_xlfn.SINGLE(IF(D146="防食Ⅰ","","W="&amp;IF(MID(D145,4,1)="5",_xlfn.IFS(VALUE(MID(D145,6,2))&lt;4,1.8,VALUE(MID(D145,6,2))&lt;5,2,VALUE(MID(D145,6,2))&lt;8,2.7,VALUE(MID(D145,6,2))&gt;7,5),_xlfn.IFS(VALUE(MID(D145,6,2))=1,1.8,VALUE(MID(D145,6,2))&lt;3,2,VALUE(MID(D145,6,2))&lt;5,2.7,VALUE(MID(D145,6,2))&lt;8,5,VALUE(MID(D145,6,2))&gt;7,12.3)))),"N=1")</f>
        <v/>
      </c>
      <c r="H172" s="64"/>
      <c r="I172" s="53"/>
      <c r="J172" s="7" t="str">
        <f>IF(MID(D145,1,2)="除去",IF(D146="防食Ⅰ","","kg"),"個")</f>
        <v/>
      </c>
      <c r="K172" s="130" t="str">
        <f>IF(D145="　","",IF(MID(D145,1,2)="除去",MID(G172,3,4),MID(G172,3,2)))</f>
        <v/>
      </c>
      <c r="L172" s="30" t="str">
        <f>IFERROR(D150*K172,"")</f>
        <v/>
      </c>
    </row>
    <row r="173" spans="2:12" ht="12" customHeight="1">
      <c r="B173" s="6" t="str">
        <f>IF(MID(D145,1,2)="除去",IF(D146="防食Ⅰ","","止水具スペーサ"),"くさび")</f>
        <v/>
      </c>
      <c r="C173" s="34" t="str">
        <f>IF(D145="　","",IF(MID(D145,1,2)="除去",IF(D146="防食Ⅰ","",MID(D145,3,5)&amp;"用、NBR45相当"),MID(D145,3,5)&amp;"用、"&amp;IF(MID(D145,4,1)="5","φ12.7","φ15.2")&amp;"、SCM415相当"))</f>
        <v/>
      </c>
      <c r="D173" s="35"/>
      <c r="E173" s="35"/>
      <c r="F173" s="36"/>
      <c r="G173" s="52" t="str">
        <f>IF(D145="　","",IF(MID(D145,1,2)="除去",IF(D146="防食Ⅰ","","N="&amp;1),"N="&amp;MID(D145,6,2)))</f>
        <v/>
      </c>
      <c r="H173" s="64"/>
      <c r="I173" s="53"/>
      <c r="J173" s="7" t="str">
        <f>IF(MID(D145,1,2)="除去",IF(D146="防食Ⅰ","","個"),"組")</f>
        <v/>
      </c>
      <c r="K173" s="130" t="str">
        <f>IF(D145="　","",IF(MID(D145,1,2)="除去",MID(G173,3,2),MID(G173,3,2)))</f>
        <v/>
      </c>
      <c r="L173" s="30" t="str">
        <f>IFERROR(D150*K173,"")</f>
        <v/>
      </c>
    </row>
    <row r="174" spans="2:12" ht="12" customHeight="1">
      <c r="B174" s="6" t="str">
        <f>IF(MID(D145,1,2)="除去",IF(D146="防食Ⅰ","","配列スペーサ"),"サンタックシーラー")</f>
        <v/>
      </c>
      <c r="C174" s="34" t="str">
        <f>IF(D145="　","",IF(MID(D145,1,2)="除去",IF(D146="防食Ⅰ","","J"&amp;IF(MID(D145,4,1)="5",_xlfn.IFS(VALUE(MID(D145,6,2))=3,"5-3",VALUE(MID(D145,6,2))&lt;5,"5-4",VALUE(MID(D145,6,2))&lt;8,"5-7",VALUE(MID(D145,6,2))&gt;7,"5-12"),_xlfn.IFS(VALUE(MID(D145,6,2))=3,"6-3",VALUE(MID(D145,6,2))&lt;5,"6-4",VALUE(MID(D145,6,2))&lt;8,"6-7",VALUE(MID(D145,6,2))&gt;7,"6-12"))&amp;"用、ポリエチレン"),""))</f>
        <v/>
      </c>
      <c r="D174" s="35"/>
      <c r="E174" s="35"/>
      <c r="F174" s="36"/>
      <c r="G174" s="52" t="str" cm="1">
        <f t="array" ref="G174">IF(D145="　","",IF(MID(D145,1,2)="除去",IF(D146="防食Ⅰ","","N="&amp;1),"N="&amp;IF(MID(D145,4,1)="5",_xlfn.IFS(VALUE(MID(D145,6,2))&lt;5,0.03,VALUE(MID(D145,6,2))&lt;8,0.04,VALUE(MID(D145,6,2))&lt;13,0.06),_xlfn.IFS(VALUE(MID(D145,6,2))&lt;4,0.03,VALUE(MID(D145,6,2))&lt;6,0.04,VALUE(MID(D145,6,2))&lt;9,0.06,VALUE(MID(D145,6,2))&gt;8,0.09))&amp;"巻/本"))</f>
        <v/>
      </c>
      <c r="H174" s="64"/>
      <c r="I174" s="53"/>
      <c r="J174" s="7" t="str">
        <f>IF(MID(D145,1,2)="除去",IF(D146="防食Ⅰ","","個"),"巻")</f>
        <v/>
      </c>
      <c r="K174" s="130" t="str">
        <f>IF(D145="　","",IF(MID(D145,1,2)="除去",MID(G174,3,2),MID(G174,3,4)))</f>
        <v/>
      </c>
      <c r="L174" s="30" t="str">
        <f>IFERROR(D150*K174,"")</f>
        <v/>
      </c>
    </row>
    <row r="175" spans="2:12" ht="12" customHeight="1">
      <c r="B175" s="6" t="str">
        <f>IF(MID(D145,1,2)="除去","","結束テープ")</f>
        <v/>
      </c>
      <c r="C175" s="34" t="str">
        <f>IF(D145="　","",IF(MID(D145,1,2)="除去","",""))</f>
        <v/>
      </c>
      <c r="D175" s="35"/>
      <c r="E175" s="35"/>
      <c r="F175" s="36"/>
      <c r="G175" s="52" t="str" cm="1">
        <f t="array" ref="G175">IF(D145="　","",IF(MID(D145,1,2)="除去","","L=(自由長+緊張余長)×係数"&amp;IF(MID(D145,4,1)="5",_xlfn.IFS(VALUE(MID(D145,6,2))&lt;5,"1.0",VALUE(MID(D145,6,2))&lt;8,"1.1",VALUE(MID(D145,6,2))&lt;13,"1.2"),_xlfn.IFS(VALUE(MID(D145,6,2))&lt;4,"1.0",VALUE(MID(D145,6,2))&lt;6,"1.1",VALUE(MID(D145,6,2))&lt;9,"1.2",VALUE(MID(D145,6,2))&gt;8,"1.4"))))</f>
        <v/>
      </c>
      <c r="H175" s="64"/>
      <c r="I175" s="53"/>
      <c r="J175" s="7" t="str">
        <f>IF(MID(D145,1,2)="除去","","m")</f>
        <v/>
      </c>
      <c r="K175" s="6" t="str">
        <f>IF(D145="　","",IF(MID(D145,1,2)="除去","",MROUND(SUM(D151,D153:D154)*RIGHT(G175,3),0.1)))</f>
        <v/>
      </c>
      <c r="L175" s="30" t="str">
        <f>IFERROR(D150*K175,"")</f>
        <v/>
      </c>
    </row>
    <row r="176" spans="2:12" ht="12" customHeight="1">
      <c r="B176" s="126" t="str">
        <f>IF(MID(D145,1,2)="除去","","防錆材")</f>
        <v/>
      </c>
      <c r="C176" s="126" t="str">
        <f>IF(D145="　","",IF(MID(D145,1,2)="除去","","自由長部塗布"))</f>
        <v/>
      </c>
      <c r="D176" s="35"/>
      <c r="E176" s="35"/>
      <c r="F176" s="35"/>
      <c r="G176" s="128" t="str">
        <f>IF(MID(D145,1,2)="除去","","W=(自由長-0.5m)×鋼線本数×0.0646kg")</f>
        <v/>
      </c>
      <c r="H176" s="35"/>
      <c r="I176" s="125"/>
      <c r="J176" s="48" t="str">
        <f>IF(MID(D145,1,2)="除去","","kg")</f>
        <v/>
      </c>
      <c r="K176" s="6" t="str">
        <f>IF(D145="　","",IF(MID(D145,1,2)="除去","",MROUND((D151+D153-0.5)*MID(D145,6,2)*0.0646,0.1)))</f>
        <v/>
      </c>
      <c r="L176" s="30" t="str">
        <f>IFERROR(D150*K176,"")</f>
        <v/>
      </c>
    </row>
    <row r="177" spans="2:12" ht="12" customHeight="1">
      <c r="B177" s="6" t="str">
        <f>IF(D147="なし","",B147)</f>
        <v>土留め台座</v>
      </c>
      <c r="C177" s="34" t="str" cm="1">
        <f t="array" ref="C177">IF(D145="　","",IF(D147="なし","",_xlfn.IFS(MID(B147,1,3)="のり面",_xlfn.IFS(VALUE(MID(D145,6,2))&lt;5,"ST170",VALUE(MID(D145,6,2))&lt;8,"ST200",VALUE(MID(D145,6,2))&lt;13,"ST200")&amp;"、FCD450相当",OR(MID(B147,1,3)="構造物",MID(B147,1,3)="土留め"),D145&amp;"用"&amp;IF(OR(MID(B147,1,3)="構造物",D148="　"),"",D148&amp;"/"&amp;E148))&amp;"、防食："&amp;_xlfn.IFS(D146="防食Ⅰ","無処理",D146="防食Ⅱ","亜鉛めっき処理",D146="防食Ⅲ","ｱﾙﾐﾅｲｽﾞ処理")))</f>
        <v>除去J5-6用DB660/H350、防食：無処理</v>
      </c>
      <c r="D177" s="35"/>
      <c r="E177" s="35"/>
      <c r="F177" s="36"/>
      <c r="G177" s="52" t="str">
        <f>IF(D147="なし","","N=1")</f>
        <v>N=1</v>
      </c>
      <c r="H177" s="64"/>
      <c r="I177" s="53"/>
      <c r="J177" s="7" t="str">
        <f>IF(D147="なし","","台")</f>
        <v>台</v>
      </c>
      <c r="K177" s="130" t="str">
        <f>IF(D145="　","",MID(G177,3,2))</f>
        <v>1</v>
      </c>
      <c r="L177" s="30">
        <f>IF(K177="","",D150*K177)</f>
        <v>4</v>
      </c>
    </row>
    <row r="178" spans="2:12" ht="12" customHeight="1">
      <c r="B178" s="6" t="str">
        <f>IF(D149="なし","","フリーパッカー注入ホース")</f>
        <v/>
      </c>
      <c r="C178" s="34" t="str">
        <f>IF(D145="　","",IF(B178="","","16/20"))</f>
        <v/>
      </c>
      <c r="D178" s="35"/>
      <c r="E178" s="35"/>
      <c r="F178" s="36"/>
      <c r="G178" s="127" t="str">
        <f>IF(B178="","","L=自由長+頭部自由長+緊張余長")</f>
        <v/>
      </c>
      <c r="H178" s="64"/>
      <c r="I178" s="53"/>
      <c r="J178" s="7" t="str">
        <f>IF(D149="なし","","m")</f>
        <v/>
      </c>
      <c r="K178" s="6" t="str">
        <f>IF(D145="　","",IF(B178="","",MROUND(SUM(D151,D153:D154),0.1)))</f>
        <v/>
      </c>
      <c r="L178" s="30" t="str">
        <f>IF(K178="","",D150*K178)</f>
        <v/>
      </c>
    </row>
    <row r="179" spans="2:12" ht="12" customHeight="1">
      <c r="B179" s="6" t="str">
        <f>IF(D149="なし","","フリーパッカー")</f>
        <v/>
      </c>
      <c r="C179" s="52" t="str">
        <f>IF(D145="　","",_xlfn.SINGLE(IF(B178="","",_xlfn.IFS(D157=90,"PA-170",D157=115,"PA-200",D157&lt;147,"PA-240",D157&gt;147,"PA-350"))))</f>
        <v/>
      </c>
      <c r="D179" s="35"/>
      <c r="E179" s="35"/>
      <c r="F179" s="36"/>
      <c r="G179" s="129" t="str">
        <f>IF(B179="","","L=自由長+0.5m")</f>
        <v/>
      </c>
      <c r="H179" s="80"/>
      <c r="I179" s="81"/>
      <c r="J179" s="7" t="str">
        <f>IF(D149="なし","","m")</f>
        <v/>
      </c>
      <c r="K179" s="30" t="str">
        <f>IF(D145="　","",IF(B179="","",MROUND(D151+0.5,0.1)))</f>
        <v/>
      </c>
      <c r="L179" s="30" t="str">
        <f>IF(K179="","",D150*K179)</f>
        <v/>
      </c>
    </row>
    <row r="180" spans="2:12" ht="12" customHeight="1">
      <c r="B180" s="6" t="str">
        <f>IF(D149="なし","","パッカー取付加工")</f>
        <v/>
      </c>
      <c r="C180" s="34"/>
      <c r="D180" s="35"/>
      <c r="E180" s="35"/>
      <c r="F180" s="36"/>
      <c r="G180" s="52" t="str">
        <f>IF(B180="","","N=1")</f>
        <v/>
      </c>
      <c r="H180" s="64"/>
      <c r="I180" s="53"/>
      <c r="J180" s="7" t="str">
        <f>IF(D149="なし","","式")</f>
        <v/>
      </c>
      <c r="K180" s="130" t="str">
        <f>IF(D145="　","",MID(G180,3,2))</f>
        <v/>
      </c>
      <c r="L180" s="30" t="str">
        <f>IF(K180="","",D150*K180)</f>
        <v/>
      </c>
    </row>
    <row r="181" spans="2:12" ht="12" customHeight="1">
      <c r="B181" s="9"/>
      <c r="C181" s="52"/>
      <c r="D181" s="35"/>
      <c r="E181" s="35"/>
      <c r="F181" s="36"/>
      <c r="G181" s="57"/>
      <c r="H181" s="65"/>
      <c r="I181" s="107"/>
      <c r="J181" s="10"/>
      <c r="K181" s="30"/>
      <c r="L181" s="30"/>
    </row>
    <row r="182" spans="2:12" ht="12" customHeight="1">
      <c r="B182" s="11"/>
      <c r="C182" s="42"/>
      <c r="D182" s="37"/>
      <c r="E182" s="37"/>
      <c r="F182" s="38"/>
      <c r="G182" s="58"/>
      <c r="H182" s="66"/>
      <c r="I182" s="54"/>
      <c r="J182" s="12"/>
      <c r="K182" s="11"/>
      <c r="L182" s="11"/>
    </row>
    <row r="183" spans="2:12" ht="12" customHeight="1">
      <c r="B183" s="14" t="s">
        <v>30</v>
      </c>
      <c r="C183" s="43" t="s">
        <v>31</v>
      </c>
      <c r="D183" s="40"/>
      <c r="E183" s="40"/>
      <c r="F183" s="41"/>
      <c r="G183" s="59" t="s">
        <v>56</v>
      </c>
      <c r="H183" s="67"/>
      <c r="I183" s="108"/>
      <c r="J183" s="2" t="s">
        <v>55</v>
      </c>
      <c r="K183" s="31">
        <f>IFERROR(MROUND(0.25*PI()*(0.001*D160)^2*(D151+D152+D157+D159)*(1+2.2),0.01),"")</f>
        <v>0.76</v>
      </c>
      <c r="L183" s="31">
        <f>IFERROR(D150*K183,"")</f>
        <v>3.04</v>
      </c>
    </row>
    <row r="186" spans="2:12" ht="12" customHeight="1">
      <c r="B186" s="251" t="s">
        <v>95</v>
      </c>
      <c r="C186" s="251"/>
      <c r="D186" s="251"/>
      <c r="E186" s="251"/>
    </row>
    <row r="187" spans="2:12" ht="12" customHeight="1">
      <c r="B187" s="15" t="s">
        <v>94</v>
      </c>
      <c r="C187" s="15"/>
      <c r="D187" s="1"/>
      <c r="E187" s="1"/>
      <c r="F187" s="1"/>
    </row>
    <row r="188" spans="2:12" ht="12" customHeight="1">
      <c r="B188" s="111" t="s">
        <v>77</v>
      </c>
      <c r="C188" s="3"/>
      <c r="D188" t="str">
        <f>IF(AND(MID(D191,1,2)="残置",MID(D192,3,1)&lt;&gt;"Ⅰ"),"【注意】 残置アンカーは、防食Ⅰ限定です。EHDアンカーに変更してください。","")</f>
        <v/>
      </c>
      <c r="E188" s="1"/>
      <c r="F188" s="1"/>
      <c r="G188" s="8"/>
      <c r="H188" s="8"/>
      <c r="I188" s="102"/>
      <c r="J188" s="28"/>
    </row>
    <row r="189" spans="2:12" ht="12" customHeight="1">
      <c r="B189" s="15" t="s">
        <v>40</v>
      </c>
      <c r="C189" s="3"/>
      <c r="D189" s="1"/>
      <c r="E189" s="1"/>
      <c r="F189" s="1"/>
      <c r="G189" s="15" t="s">
        <v>54</v>
      </c>
      <c r="H189" s="15"/>
      <c r="I189" s="102"/>
      <c r="J189" s="28"/>
    </row>
    <row r="190" spans="2:12" ht="12" customHeight="1">
      <c r="B190" s="2" t="s">
        <v>53</v>
      </c>
      <c r="C190" s="2" t="s">
        <v>21</v>
      </c>
      <c r="D190" s="2" t="s">
        <v>22</v>
      </c>
      <c r="E190" s="2" t="s">
        <v>84</v>
      </c>
      <c r="F190" s="17"/>
      <c r="G190" s="2" t="s">
        <v>41</v>
      </c>
      <c r="H190" s="97" t="s">
        <v>59</v>
      </c>
      <c r="I190" s="49" t="s">
        <v>44</v>
      </c>
      <c r="J190" s="2" t="s">
        <v>21</v>
      </c>
      <c r="K190" s="49" t="s">
        <v>29</v>
      </c>
      <c r="L190" s="2" t="s">
        <v>28</v>
      </c>
    </row>
    <row r="191" spans="2:12" ht="12" customHeight="1">
      <c r="B191" s="51" t="s">
        <v>37</v>
      </c>
      <c r="C191" s="50" t="s">
        <v>38</v>
      </c>
      <c r="D191" s="70" t="s">
        <v>98</v>
      </c>
      <c r="E191" s="137" t="s">
        <v>71</v>
      </c>
      <c r="F191" s="17"/>
      <c r="G191" s="86" t="str">
        <f>IF(D203=0,"",G192)</f>
        <v/>
      </c>
      <c r="H191" s="87" t="str">
        <f>IF(D203=0,"",H193&amp;" (背面管部）")</f>
        <v/>
      </c>
      <c r="I191" s="88" t="str">
        <f>IF(D203=0,"",D204)</f>
        <v/>
      </c>
      <c r="J191" s="89" t="str">
        <f>IF(D203=0,"","m")</f>
        <v/>
      </c>
      <c r="K191" s="90" t="str">
        <f>IF(D203=0,"",D203)</f>
        <v/>
      </c>
      <c r="L191" s="29" t="str">
        <f>IF(D203=0,"",D196*K191)</f>
        <v/>
      </c>
    </row>
    <row r="192" spans="2:12" ht="12" customHeight="1">
      <c r="B192" s="52" t="s">
        <v>39</v>
      </c>
      <c r="C192" s="91" t="s">
        <v>38</v>
      </c>
      <c r="D192" s="71" t="s">
        <v>82</v>
      </c>
      <c r="E192" s="7"/>
      <c r="F192" s="17"/>
      <c r="G192" s="68" t="s">
        <v>43</v>
      </c>
      <c r="H192" s="68" t="s">
        <v>72</v>
      </c>
      <c r="I192" s="88" t="str" cm="1">
        <f t="array" ref="I192">_xlfn.IFS(AND(G192&lt;&gt;"非削孔",G192&lt;&gt;"無設定"),D206,G192="非削孔",IF(MID(B193,1,3)="土留め","非削孔","箱抜き"),G192="無設定","無設定")</f>
        <v>非削孔</v>
      </c>
      <c r="J192" s="23" t="str">
        <f>IF(G192="無設定","","m")</f>
        <v>m</v>
      </c>
      <c r="K192" s="69">
        <v>0.8</v>
      </c>
      <c r="L192" s="30">
        <f>D196*K192</f>
        <v>3.2</v>
      </c>
    </row>
    <row r="193" spans="2:12" ht="12" customHeight="1">
      <c r="B193" s="115" t="s">
        <v>70</v>
      </c>
      <c r="C193" s="91" t="s">
        <v>38</v>
      </c>
      <c r="D193" s="83" t="s">
        <v>51</v>
      </c>
      <c r="E193" s="139" t="str">
        <f>IF(OR(MID(B193,1,3)&lt;&gt;"土留め",D193="なし"),"","腹起し")</f>
        <v/>
      </c>
      <c r="F193" s="19"/>
      <c r="G193" s="68" t="s">
        <v>92</v>
      </c>
      <c r="H193" s="68" t="s">
        <v>97</v>
      </c>
      <c r="I193" s="88" cm="1">
        <f t="array" ref="I193">_xlfn.IFS(AND(G193&lt;&gt;"非削孔",G193&lt;&gt;"無設定"),D206,G193="非削孔","箱抜き",G193="無設定","無設定")</f>
        <v>135</v>
      </c>
      <c r="J193" s="23" t="str">
        <f t="shared" ref="J193" si="7">IF(G193="無設定","","m")</f>
        <v>m</v>
      </c>
      <c r="K193" s="69">
        <v>7</v>
      </c>
      <c r="L193" s="30">
        <f>D196*K193</f>
        <v>28</v>
      </c>
    </row>
    <row r="194" spans="2:12" ht="12" customHeight="1">
      <c r="B194" s="114" t="str">
        <f>IF(OR(MID(B193,1,3)&lt;&gt;"土留め",D193="なし"),"",B193&amp;"の種類")</f>
        <v/>
      </c>
      <c r="C194" s="91" t="s">
        <v>38</v>
      </c>
      <c r="D194" s="113" t="s">
        <v>71</v>
      </c>
      <c r="E194" s="122" t="s">
        <v>71</v>
      </c>
      <c r="F194" s="21"/>
      <c r="G194" s="68" t="s">
        <v>48</v>
      </c>
      <c r="H194" s="68"/>
      <c r="I194" s="88" t="str" cm="1">
        <f t="array" ref="I194">_xlfn.IFS(AND(G194&lt;&gt;"非削孔",G194&lt;&gt;"無設定"),D206,G194="非削孔","箱抜き",G194="無設定","無設定")</f>
        <v>無設定</v>
      </c>
      <c r="J194" s="23" t="str">
        <f>IF(G194="無設定","","m")</f>
        <v/>
      </c>
      <c r="K194" s="69">
        <v>0</v>
      </c>
      <c r="L194" s="30">
        <f>D196*K194</f>
        <v>0</v>
      </c>
    </row>
    <row r="195" spans="2:12" ht="12" customHeight="1">
      <c r="B195" s="147" t="s">
        <v>50</v>
      </c>
      <c r="C195" s="91" t="s">
        <v>38</v>
      </c>
      <c r="D195" s="83" t="s">
        <v>51</v>
      </c>
      <c r="E195" s="19"/>
      <c r="F195" s="21"/>
      <c r="G195" s="68" t="s">
        <v>48</v>
      </c>
      <c r="H195" s="68"/>
      <c r="I195" s="88" t="str" cm="1">
        <f t="array" ref="I195">_xlfn.IFS(AND(G195&lt;&gt;"非削孔",G195&lt;&gt;"無設定"),D206,G195="非削孔","箱抜き",G195="無設定","無設定")</f>
        <v>無設定</v>
      </c>
      <c r="J195" s="23" t="str">
        <f t="shared" ref="J195:J201" si="8">IF(G195="無設定","","m")</f>
        <v/>
      </c>
      <c r="K195" s="69">
        <v>0</v>
      </c>
      <c r="L195" s="30">
        <f>D196*K195</f>
        <v>0</v>
      </c>
    </row>
    <row r="196" spans="2:12" ht="12" customHeight="1">
      <c r="B196" s="22" t="s">
        <v>25</v>
      </c>
      <c r="C196" s="23" t="s">
        <v>24</v>
      </c>
      <c r="D196" s="92">
        <v>4</v>
      </c>
      <c r="E196" s="21"/>
      <c r="F196" s="21"/>
      <c r="G196" s="68" t="s">
        <v>48</v>
      </c>
      <c r="H196" s="68"/>
      <c r="I196" s="88" t="str" cm="1">
        <f t="array" ref="I196">_xlfn.IFS(AND(G196&lt;&gt;"非削孔",G196&lt;&gt;"無設定"),D206,G196="非削孔","箱抜き",G196="無設定","無設定")</f>
        <v>無設定</v>
      </c>
      <c r="J196" s="23" t="str">
        <f t="shared" si="8"/>
        <v/>
      </c>
      <c r="K196" s="69">
        <v>0</v>
      </c>
      <c r="L196" s="30">
        <f>D196*K196</f>
        <v>0</v>
      </c>
    </row>
    <row r="197" spans="2:12" ht="12" customHeight="1">
      <c r="B197" s="22" t="s">
        <v>108</v>
      </c>
      <c r="C197" s="23" t="s">
        <v>23</v>
      </c>
      <c r="D197" s="47">
        <v>4</v>
      </c>
      <c r="E197" s="21"/>
      <c r="F197" s="21"/>
      <c r="G197" s="68" t="s">
        <v>61</v>
      </c>
      <c r="H197" s="68"/>
      <c r="I197" s="88" t="str" cm="1">
        <f t="array" ref="I197">_xlfn.IFS(AND(G197&lt;&gt;"非削孔",G197&lt;&gt;"無設定"),D206,G197="非削孔","箱抜き",G197="無設定","無設定")</f>
        <v>無設定</v>
      </c>
      <c r="J197" s="23" t="str">
        <f t="shared" si="8"/>
        <v/>
      </c>
      <c r="K197" s="69">
        <v>0</v>
      </c>
      <c r="L197" s="30">
        <f>D196*K197</f>
        <v>0</v>
      </c>
    </row>
    <row r="198" spans="2:12" ht="12" customHeight="1">
      <c r="B198" s="22" t="s">
        <v>36</v>
      </c>
      <c r="C198" s="23" t="s">
        <v>23</v>
      </c>
      <c r="D198" s="47">
        <v>3</v>
      </c>
      <c r="E198" s="21"/>
      <c r="F198" s="21"/>
      <c r="G198" s="68" t="s">
        <v>48</v>
      </c>
      <c r="H198" s="68"/>
      <c r="I198" s="88" t="str" cm="1">
        <f t="array" ref="I198">_xlfn.IFS(AND(G198&lt;&gt;"非削孔",G198&lt;&gt;"無設定"),D206,G198="非削孔","箱抜き",G198="無設定","無設定")</f>
        <v>無設定</v>
      </c>
      <c r="J198" s="23" t="str">
        <f t="shared" si="8"/>
        <v/>
      </c>
      <c r="K198" s="69">
        <v>0</v>
      </c>
      <c r="L198" s="30">
        <f>D196*K198</f>
        <v>0</v>
      </c>
    </row>
    <row r="199" spans="2:12" ht="12" customHeight="1">
      <c r="B199" s="148" t="str" cm="1">
        <f t="array" ref="B199">"頭部自由長("&amp;_xlfn.IFS(AND(MID(B193,1,3)="土留め",D193="あり"),"腹起し+台座",AND(MID(B193,1,3)="土留め",D193="なし"),"台座なし",AND(MID(B193,1,3)="構造物",D193="あり"),"壁面台座",AND(MID(B193,1,3)="構造物",D193="なし"),"台座なし",AND(MID(B193,1,3)="のり面",D193="あり"),"角度台座＋受圧体",AND(MID(B193,1,3)="のり面",D193="なし"),"受圧体")&amp;")　"&amp;"Lfh"</f>
        <v>頭部自由長(台座なし)　Lfh</v>
      </c>
      <c r="C199" s="23" t="s">
        <v>23</v>
      </c>
      <c r="D199" s="47">
        <v>0.8</v>
      </c>
      <c r="E199" s="21"/>
      <c r="F199" s="21"/>
      <c r="G199" s="68" t="s">
        <v>48</v>
      </c>
      <c r="H199" s="68"/>
      <c r="I199" s="88" t="str" cm="1">
        <f t="array" ref="I199">_xlfn.IFS(AND(G199&lt;&gt;"非削孔",G199&lt;&gt;"無設定"),D206,G199="非削孔","箱抜き",G199="無設定","無設定")</f>
        <v>無設定</v>
      </c>
      <c r="J199" s="23" t="str">
        <f t="shared" si="8"/>
        <v/>
      </c>
      <c r="K199" s="69">
        <v>0</v>
      </c>
      <c r="L199" s="30">
        <f>D196*K199</f>
        <v>0</v>
      </c>
    </row>
    <row r="200" spans="2:12" ht="12" customHeight="1">
      <c r="B200" s="146" t="s">
        <v>69</v>
      </c>
      <c r="C200" s="23" t="s">
        <v>23</v>
      </c>
      <c r="D200" s="24">
        <f>IF(D191="　","──",IF(MID(D191,6,2)*IF(MID(D191,4,1)="5",183,261)*IF(MID(D192,3,1)="Ⅰ",0.65,0.6)*IF(MID(D191,1,2)="除去",0.9,1)&lt;=700,1,1.5))</f>
        <v>1</v>
      </c>
      <c r="E200" s="120"/>
      <c r="G200" s="68" t="s">
        <v>48</v>
      </c>
      <c r="H200" s="68"/>
      <c r="I200" s="88" t="str" cm="1">
        <f t="array" ref="I200">_xlfn.IFS(AND(G200&lt;&gt;"非削孔",G200&lt;&gt;"無設定"),D206,G200="非削孔","箱抜き",G200="無設定","無設定")</f>
        <v>無設定</v>
      </c>
      <c r="J200" s="23" t="str">
        <f t="shared" si="8"/>
        <v/>
      </c>
      <c r="K200" s="69">
        <v>0</v>
      </c>
      <c r="L200" s="30">
        <f>D196*K200</f>
        <v>0</v>
      </c>
    </row>
    <row r="201" spans="2:12" ht="12" customHeight="1">
      <c r="B201" s="6" t="s">
        <v>109</v>
      </c>
      <c r="C201" s="23" t="s">
        <v>23</v>
      </c>
      <c r="D201" s="60">
        <f>IF(D191="　","──",SUM(D197:D200))</f>
        <v>8.8000000000000007</v>
      </c>
      <c r="E201" s="121"/>
      <c r="F201" s="19"/>
      <c r="G201" s="99" t="str" cm="1">
        <f t="array" ref="G201">INDEX(G192:I200,MATCH("無設定",G192:G200,0)-1,MATCH(G190,G190:I190,0))</f>
        <v>砂質土</v>
      </c>
      <c r="H201" s="100" t="str" cm="1">
        <f t="array" ref="H201">INDEX(G192:I200,MATCH("無設定",G192:G200,0)-1,MATCH(H190,G190:I190,0))&amp;"　(先端削孔長)"</f>
        <v>軟質～硬質シラス　(先端削孔長)</v>
      </c>
      <c r="I201" s="88" cm="1">
        <f t="array" ref="I201">INDEX(G192:I200,MATCH("無設定",G192:G200,0)-1,MATCH(I190,G190:I190,0))</f>
        <v>135</v>
      </c>
      <c r="J201" s="23" t="str">
        <f t="shared" si="8"/>
        <v>m</v>
      </c>
      <c r="K201" s="98">
        <f>D205</f>
        <v>0.2</v>
      </c>
      <c r="L201" s="78">
        <f>IFERROR(D196*K201,"")</f>
        <v>0.8</v>
      </c>
    </row>
    <row r="202" spans="2:12" ht="12" customHeight="1">
      <c r="B202" s="22" t="s">
        <v>75</v>
      </c>
      <c r="C202" s="23" t="s">
        <v>35</v>
      </c>
      <c r="D202" s="84">
        <f>IF(D191="　","──",IF(MID(D191,1,2)="除去",0,0.2))</f>
        <v>0</v>
      </c>
      <c r="E202" s="123"/>
      <c r="F202" s="19"/>
      <c r="G202" s="72"/>
      <c r="H202" s="75" t="s">
        <v>45</v>
      </c>
      <c r="I202" s="103"/>
      <c r="J202" s="18" t="s">
        <v>23</v>
      </c>
      <c r="K202" s="74">
        <f>SUMIFS(K191:K201,G191:G201,"&lt;&gt;非削孔",G191:G201,"&lt;&gt;無設定")</f>
        <v>7.2</v>
      </c>
      <c r="L202" s="95">
        <f>SUMIFS(L191:L201,G191:G201,"&lt;&gt;非削孔",G191:G201,"&lt;&gt;無設定")</f>
        <v>28.8</v>
      </c>
    </row>
    <row r="203" spans="2:12" ht="12" customHeight="1">
      <c r="B203" s="22" t="s">
        <v>73</v>
      </c>
      <c r="C203" s="23" t="s">
        <v>35</v>
      </c>
      <c r="D203" s="85">
        <v>0</v>
      </c>
      <c r="E203" s="123"/>
      <c r="F203" s="19"/>
      <c r="G203" s="73"/>
      <c r="H203" s="76" t="s">
        <v>47</v>
      </c>
      <c r="I203" s="104"/>
      <c r="J203" s="79" t="s">
        <v>46</v>
      </c>
      <c r="K203" s="77" t="str">
        <f>IF(D191="　","",IF(SUM(D197:D199,D203,D205)=K202+SUMIFS(K191:K201,G191:G201,"=非削孔"),"OK","NG"))</f>
        <v>OK</v>
      </c>
      <c r="L203" s="145" t="str">
        <f>IF(K203&lt;&gt;"NG","──",K202+SUMIFS(K191:K201,G191:G201,"=非削孔")-SUM(D197:D199,D203,D205))</f>
        <v>──</v>
      </c>
    </row>
    <row r="204" spans="2:12" ht="12" customHeight="1">
      <c r="B204" s="22" t="str">
        <f>IF(D191="　","",IF(D203=0,"","頭部背面管削孔径　Dh"))</f>
        <v/>
      </c>
      <c r="C204" s="23" t="str">
        <f>IF(D191="　","",IF(D203=0,"","mm"))</f>
        <v/>
      </c>
      <c r="D204" s="93" t="str" cm="1">
        <f t="array" ref="D204">IF(D191="　","",IF(D203=0,"",IF(MID(D191,4,1)="5",_xlfn.IFS(VALUE(MID(D191,6,2))&lt;7,115,VALUE(MID(D191,6,2))&gt;6,135),"未設定")))</f>
        <v/>
      </c>
      <c r="E204" s="121"/>
      <c r="F204" s="19"/>
      <c r="G204" s="94" t="s">
        <v>58</v>
      </c>
      <c r="H204" s="252" t="s">
        <v>62</v>
      </c>
      <c r="I204" s="253"/>
      <c r="J204" s="253"/>
      <c r="K204" s="253"/>
      <c r="L204" s="254"/>
    </row>
    <row r="205" spans="2:12" ht="12" customHeight="1">
      <c r="B205" s="25" t="s">
        <v>74</v>
      </c>
      <c r="C205" s="26" t="s">
        <v>23</v>
      </c>
      <c r="D205" s="27">
        <f>IF(MID(D191,1,2)="残置",0.25,0.2)</f>
        <v>0.2</v>
      </c>
      <c r="E205" s="117"/>
      <c r="F205" s="1"/>
      <c r="G205" s="8"/>
      <c r="H205" s="8"/>
      <c r="I205" s="102"/>
    </row>
    <row r="206" spans="2:12" ht="12" customHeight="1">
      <c r="B206" s="25" t="s">
        <v>57</v>
      </c>
      <c r="C206" s="26" t="s">
        <v>32</v>
      </c>
      <c r="D206" s="82" cm="1">
        <f t="array" ref="D206">IF(D191="　","──",IF(E206="　",_xlfn.IFS(MID(D191,1,2)="除去",IF(MID(D191,4,1)="5",135,165),MID(D191,1,2)="残置",IF(MID(D191,4,1)="5",IF(VALUE(MID(D191,6,2))&lt;8,115,135),IF(VALUE(MID(D191,6,2))&lt;10,146,165))),E206))</f>
        <v>135</v>
      </c>
      <c r="E206" s="142" t="s">
        <v>71</v>
      </c>
      <c r="F206" s="1"/>
      <c r="G206" s="8"/>
      <c r="H206" s="8"/>
      <c r="I206" s="102"/>
    </row>
    <row r="207" spans="2:12" ht="12" customHeight="1">
      <c r="F207" s="1"/>
      <c r="G207" s="8"/>
      <c r="H207" s="8"/>
      <c r="I207" s="102"/>
    </row>
    <row r="208" spans="2:12" ht="12" customHeight="1">
      <c r="B208" s="15" t="str">
        <f>"■"&amp;MID(B186,2,17)</f>
        <v>■短期仮設：KJS除去アンカー数量表</v>
      </c>
      <c r="C208" s="3"/>
      <c r="D208" s="1"/>
      <c r="E208" s="1"/>
      <c r="F208" s="1"/>
      <c r="G208" s="8"/>
      <c r="H208" s="8"/>
      <c r="I208" s="102"/>
    </row>
    <row r="209" spans="2:12" ht="12" customHeight="1">
      <c r="B209" s="2" t="s">
        <v>17</v>
      </c>
      <c r="C209" s="43"/>
      <c r="D209" s="134"/>
      <c r="E209" s="61" t="s">
        <v>78</v>
      </c>
      <c r="F209" s="135"/>
      <c r="G209" s="16"/>
      <c r="H209" s="61" t="s">
        <v>42</v>
      </c>
      <c r="I209" s="97"/>
      <c r="J209" s="2" t="s">
        <v>21</v>
      </c>
      <c r="K209" s="49" t="s">
        <v>29</v>
      </c>
      <c r="L209" s="2" t="s">
        <v>28</v>
      </c>
    </row>
    <row r="210" spans="2:12" ht="12" customHeight="1">
      <c r="B210" s="4" t="str">
        <f>IF(MID(D191,1,2)="除去","アンボンド","")&amp;"PCストランド"</f>
        <v>アンボンドPCストランド</v>
      </c>
      <c r="C210" s="39" t="str">
        <f>IF(D191="　","",D191&amp;"("&amp;MID(D191,6,2)&amp;IF(MID(D191,4,1)="5","φ12.7","φ15.2")&amp;")")</f>
        <v>除去J5-4(4φ12.7)</v>
      </c>
      <c r="D210" s="32"/>
      <c r="E210" s="32"/>
      <c r="F210" s="33"/>
      <c r="G210" s="143" t="str">
        <f>"W="&amp;IF(MID(D191,1,2)="除去","(ﾃﾝﾄﾞﾝ長+ｱﾝｶｰ体長×(1/鋼線本数-0.5))","(テンドン長+先端長0.2m)")&amp;"×鋼線本数×"&amp;IF(MID(D191,4,1)="5","0.774","1.101")&amp;"kg/m"</f>
        <v>W=(ﾃﾝﾄﾞﾝ長+ｱﾝｶｰ体長×(1/鋼線本数-0.5))×鋼線本数×0.774kg/m</v>
      </c>
      <c r="H210" s="62"/>
      <c r="I210" s="105"/>
      <c r="J210" s="5" t="s">
        <v>11</v>
      </c>
      <c r="K210" s="29">
        <f>IF(D191="　","",MROUND(IF(MID(D191,1,2)="除去",D201+D198*(1/MID(D191,6,2)-0.5),D201+D202)*MID(D191,6,2)*IF(MID(D191,4,1)="5","0.774","1.101"),0.01))</f>
        <v>24.92</v>
      </c>
      <c r="L210" s="29">
        <f>IFERROR(D196*K210,"")</f>
        <v>99.68</v>
      </c>
    </row>
    <row r="211" spans="2:12" ht="12" customHeight="1">
      <c r="B211" s="6" t="s">
        <v>20</v>
      </c>
      <c r="C211" s="34"/>
      <c r="D211" s="35"/>
      <c r="E211" s="35"/>
      <c r="F211" s="36"/>
      <c r="G211" s="56" t="str">
        <f>"L=テンドン長"&amp;IF(MID(D191,1,2)="除去","+アンカー体長×(1/鋼線本数-0.5))","")</f>
        <v>L=テンドン長+アンカー体長×(1/鋼線本数-0.5))</v>
      </c>
      <c r="H211" s="63"/>
      <c r="I211" s="106"/>
      <c r="J211" s="7" t="s">
        <v>12</v>
      </c>
      <c r="K211" s="30">
        <f>IF(D191="　","",MROUND(D201+IF(MID(D191,1,2)="除去",D198*(1/MID(D191,6,2)-0.5),0),0.1))</f>
        <v>8.1</v>
      </c>
      <c r="L211" s="30">
        <f>IFERROR(D196*K211,"")</f>
        <v>32.4</v>
      </c>
    </row>
    <row r="212" spans="2:12" ht="12" customHeight="1">
      <c r="B212" s="6" t="str">
        <f>IF(MID(D191,1,2)="除去","耐荷体","注入ホース")</f>
        <v>耐荷体</v>
      </c>
      <c r="C212" s="34" t="str" cm="1">
        <f t="array" ref="C212">IF(D191="　","",IF(MID(D191,1,2)="除去",IF(MID(D191,1,2)="除去",MID(D191,3,2)&amp;"用Bタイプ、FCD450相当"&amp;_xlfn.IFS(MID(D192,3,1)="Ⅰ","",MID(D192,3,1)="Ⅱ","、亜鉛めっき処理",MID(D192,3,1)="Ⅲ","、ｱﾙﾐﾅｲｽﾞ処理"),""),"1/2″"))</f>
        <v>J5用Bタイプ、FCD450相当</v>
      </c>
      <c r="D212" s="35"/>
      <c r="E212" s="35"/>
      <c r="F212" s="36"/>
      <c r="G212" s="127" t="str">
        <f>IF(MID(D191,1,2)="除去","N="&amp;0.5*MID(D191,6,2),"L=テンドン長")</f>
        <v>N=2</v>
      </c>
      <c r="H212" s="63"/>
      <c r="I212" s="106"/>
      <c r="J212" s="7" t="str">
        <f>IF(MID(D191,1,2)="除去","個","m")</f>
        <v>個</v>
      </c>
      <c r="K212" s="130" t="str">
        <f>IF(D191="　","",IF(MID(D191,1,2)="除去",MID(G212,3,2),MROUND(D201,0.1)))</f>
        <v>2</v>
      </c>
      <c r="L212" s="30">
        <f>IFERROR(D196*K212,"")</f>
        <v>8</v>
      </c>
    </row>
    <row r="213" spans="2:12" ht="12" customHeight="1">
      <c r="B213" s="109" t="str">
        <f>IF(MID(D191,1,2)="除去","結束テープ","パイロットキャップ")</f>
        <v>結束テープ</v>
      </c>
      <c r="C213" s="34" t="str" cm="1">
        <f t="array" ref="C213">IF(D191="　","",IF(MID(D191,1,2)="除去","","Ｊ"&amp;IF(MID(D191,4,1)="5",_xlfn.IFS(VALUE(MID(D191,6,2))&lt;5,"5-4",VALUE(MID(D191,6,2))&lt;8,"5-7",VALUE(MID(D191,6,2))&lt;10,"5-9",VALUE(MID(D191,6,2))&gt;9,"5-12"),_xlfn.IFS(VALUE(MID(D191,6,2))&lt;10,"6-9",VALUE(MID(D191,6,2))&lt;13,"6-12",VALUE(MID(D191,6,2))&gt;12,"6-19"))&amp;"用、"&amp;IF(AND(MID(D191,4,1)="6",VALUE(MID(D191,6,2))&gt;9),"AC2A","ポリプロピレン")))</f>
        <v/>
      </c>
      <c r="D213" s="35"/>
      <c r="E213" s="35"/>
      <c r="F213" s="36"/>
      <c r="G213" s="52" t="str">
        <f>IF(MID(D191,1,2)="除去","L=(自由長+頭部自由長+緊張余長)÷2.0mピッチ","N=1")</f>
        <v>L=(自由長+頭部自由長+緊張余長)÷2.0mピッチ</v>
      </c>
      <c r="H213" s="110"/>
      <c r="I213" s="53"/>
      <c r="J213" s="7" t="str">
        <f>IF(MID(D191,1,2)="除去","m","個")</f>
        <v>m</v>
      </c>
      <c r="K213" s="130">
        <f>IF(D191="　","",IF(MID(D191,1,2)="除去",MROUND(SUM(D197,D199:D200)/2,0.01),MID(G213,3,2)))</f>
        <v>2.9</v>
      </c>
      <c r="L213" s="30">
        <f>IFERROR(D196*K213,"")</f>
        <v>11.6</v>
      </c>
    </row>
    <row r="214" spans="2:12" ht="12" customHeight="1">
      <c r="B214" s="109" t="str">
        <f>IF(MID(D191,1,2)="除去",IF(D192="防食Ⅰ","アンカープレート","溝付アンカープレート"),"スペーサ")</f>
        <v>アンカープレート</v>
      </c>
      <c r="C214" s="96" t="str" cm="1">
        <f t="array" ref="C214">IF(D191="　","",_xlfn.SINGLE(IF(MID(D191,1,2)="除去","J"&amp;_xlfn.SINGLE(IF(MID(D191,4,1)="5",_xlfn.IFS(VALUE(MID(D191,6,2))&lt;3,"5-2",VALUE(MID(D191,6,2))&lt;5,"5-4",VALUE(MID(D191,6,2))&lt;7,"5-7",VALUE(MID(D191,6,2))&lt;10,"5-9",VALUE(MID(D191,6,2))&gt;9,"5-12"),_xlfn.IFS(VALUE(MID(D191,6,2))&lt;13,"6-12")))&amp;"用、"&amp;IF(D192="防食Ⅰ","SS400相当","SS400・STKM13A相当、防食：")&amp;_xlfn.IFS(D192="防食Ⅰ","無処理",D192="防食Ⅱ","亜鉛めっき処理",D192="防食Ⅲ","ｱﾙﾐﾅｲｽﾞ処理"),"J"&amp;IF(MID(D191,4,1)="5",_xlfn.IFS(VALUE(MID(D191,6,2))&lt;8,"5-7",VALUE(MID(D191,6,2))&gt;7,"5-12"),_xlfn.IFS(VALUE(MID(D191,6,2))&lt;8,"6-7",VALUE(MID(D191,6,2))&lt;13,"6-12",VALUE(MID(D191,6,2))&gt;12,"6-19"))&amp;"用、"&amp;IF(AND(MID(D191,4,1)="6",VALUE(MID(D191,6,2))&gt;9),"AC2B","ポリプロピレン"))))</f>
        <v>J5-4用、SS400相当無処理</v>
      </c>
      <c r="D214" s="35"/>
      <c r="E214" s="35"/>
      <c r="F214" s="36"/>
      <c r="G214" s="127" t="str">
        <f>IF(MID(D191,1,2)="除去","N=1","N=アンカー体÷1.0mピッチ")</f>
        <v>N=1</v>
      </c>
      <c r="H214" s="63"/>
      <c r="I214" s="106"/>
      <c r="J214" s="7" t="str">
        <f>IF(MID(D191,1,2)="除去","枚","m")</f>
        <v>枚</v>
      </c>
      <c r="K214" s="130" t="str">
        <f>IF(D191="　","",IF(D191="　","",IF(MID(D191,1,2)="除去",MID(G214,3,2),MROUND(D198/1,1))))</f>
        <v>1</v>
      </c>
      <c r="L214" s="30">
        <f>IFERROR(D196*K214,"")</f>
        <v>4</v>
      </c>
    </row>
    <row r="215" spans="2:12" ht="12" customHeight="1">
      <c r="B215" s="109" t="str">
        <f>IF(MID(D191,1,2)="除去","アンカーヘッド","結束バンド")</f>
        <v>アンカーヘッド</v>
      </c>
      <c r="C215" s="34" t="str">
        <f>IF(D191="　","",IF(MID(D191,1,2)="除去","J"&amp;IF(MID(D191,4,1)="5",_xlfn.IFS(VALUE(MID(D191,6,2))&lt;3,"5-2",VALUE(MID(D191,6,2))&lt;4,"5-3",VALUE(MID(D191,6,2))&lt;5,"5-4",VALUE(MID(D191,6,2))&lt;8,"5-7",VALUE(MID(D191,6,2))&lt;10,"5-9",VALUE(MID(D191,6,2))&gt;9,"5-12"),_xlfn.IFS(VALUE(MID(D191,6,2))&lt;8,"6-7",VALUE(MID(D191,6,2))&gt;7,"6-12"))&amp;"用、S45C相当","AB350、66ナイロン"))</f>
        <v>J5-4用、S45C相当</v>
      </c>
      <c r="D215" s="35"/>
      <c r="E215" s="35"/>
      <c r="F215" s="36"/>
      <c r="G215" s="127" t="str">
        <f>IF(MID(D191,1,2)="除去","N=1","N=スペーサ数×2")</f>
        <v>N=1</v>
      </c>
      <c r="H215" s="63"/>
      <c r="I215" s="106"/>
      <c r="J215" s="7" t="str">
        <f>IF(MID(D191,1,2)="除去","個","本")</f>
        <v>個</v>
      </c>
      <c r="K215" s="130" t="str">
        <f>IF(D191="　","",IF(MID(D191,1,2)="除去",MID(G215,3,2),2*K214))</f>
        <v>1</v>
      </c>
      <c r="L215" s="30">
        <f>IFERROR(D196*K215,"")</f>
        <v>4</v>
      </c>
    </row>
    <row r="216" spans="2:12" ht="12" customHeight="1">
      <c r="B216" s="6" t="str">
        <f>IF(MID(D191,1,2)="除去","くさび","ポリホース")</f>
        <v>くさび</v>
      </c>
      <c r="C216" s="34" t="str">
        <f>IF(D191="　","",IF(MID(D191,1,2)="除去",MID(D191,3,5)&amp;"用、"&amp;IF(MID(D191,4,1)="5","φ12.7","φ15.2")&amp;"、SCM415相当","1-1/2″"))</f>
        <v>J5-4用、φ12.7、SCM415相当</v>
      </c>
      <c r="D216" s="35"/>
      <c r="E216" s="35"/>
      <c r="F216" s="36"/>
      <c r="G216" s="127" t="str">
        <f>IF(MID(D191,1,2)="除去","N="&amp;MID(D191,6,2),"L=自由長-0.5m")</f>
        <v>N=4</v>
      </c>
      <c r="H216" s="63"/>
      <c r="I216" s="106"/>
      <c r="J216" s="7" t="str">
        <f>IF(MID(D191,1,2)="除去","組","m")</f>
        <v>組</v>
      </c>
      <c r="K216" s="130" t="str">
        <f>IF(D191="　","",IF(MID(D191,1,2)="除去",MID(G216,3,2),D197+D199-0.5))</f>
        <v>4</v>
      </c>
      <c r="L216" s="30">
        <f>IFERROR(D196*K216,"")</f>
        <v>16</v>
      </c>
    </row>
    <row r="217" spans="2:12" ht="12" customHeight="1">
      <c r="B217" s="6" t="str">
        <f>IF(MID(D191,1,2)="除去",IF(D192="防食Ⅰ","","ヘッドキャップ"),"アンカープレート")</f>
        <v/>
      </c>
      <c r="C217" s="96" t="str" cm="1">
        <f t="array" ref="C217">IF(D191="　","",IF(MID(D191,1,2)="除去",IF(D192="防食Ⅰ","","J"&amp;_xlfn.SINGLE(IF(MID(D191,4,1)="5",_xlfn.IFS(VALUE(MID(D191,6,2))&lt;5,"5-4",VALUE(MID(D191,6,2))&lt;8,"5-7",VALUE(MID(D191,6,2))&gt;7,"5-12"),"未設定"))&amp;"RN用、AC4C相当"&amp;IF(D192="防食Ⅱ","","、防食：タケコート処理")),"J"&amp;_xlfn.SINGLE(IF(MID(D191,4,1)="5",_xlfn.IFS(VALUE(MID(D191,6,2))&lt;3,"5-2",VALUE(MID(D191,6,2))&lt;5,"5-4",VALUE(MID(D191,6,2))&lt;7,"5-7",VALUE(MID(D191,6,2))&lt;10,"5-9",VALUE(MID(D191,6,2))&gt;9,"5-12"),_xlfn.IFS(VALUE(MID(D191,6,2))&lt;13,"6-12")))&amp;"用、"&amp;IF(D192="防食Ⅰ","SS400相当","SS400・STKM13A相当、防食：")&amp;_xlfn.IFS(D192="防食Ⅰ","、防食：無処理",D192="防食Ⅱ","、防食：亜鉛めっき",D192="防食Ⅲ","、防食：ｱﾙﾐﾅｲｽﾞ")))</f>
        <v/>
      </c>
      <c r="D217" s="44"/>
      <c r="E217" s="44"/>
      <c r="F217" s="45"/>
      <c r="G217" s="52" t="str">
        <f>IF(MID(D191,1,2)="除去",IF(D192="防食Ⅰ","","N=1"),"N=1")</f>
        <v/>
      </c>
      <c r="H217" s="64"/>
      <c r="I217" s="53"/>
      <c r="J217" s="7" t="str">
        <f>IF(MID(D191,1,2)="除去",IF(D192="防食Ⅰ","","個"),"枚")</f>
        <v/>
      </c>
      <c r="K217" s="130" t="str">
        <f>IF(D191="　","",IF(MID(D191,1,2)="除去",MID(G217,3,2),MID(G217,3,2)))</f>
        <v/>
      </c>
      <c r="L217" s="30" t="str">
        <f>IFERROR(D196*K217,"")</f>
        <v/>
      </c>
    </row>
    <row r="218" spans="2:12" ht="12" customHeight="1">
      <c r="B218" s="6" t="str">
        <f>IF(MID(D191,1,2)="除去",IF(D192="防食Ⅰ","","頭部防錆油"),"アンカーヘッド")</f>
        <v/>
      </c>
      <c r="C218" s="34" t="str">
        <f>IF(D191="　","",IF(MID(D191,1,2)="除去",IF(D192="防食Ⅰ","","PCコートC"),"J"&amp;IF(MID(D191,4,1)="5",_xlfn.IFS(VALUE(MID(D191,6,2))&lt;3,"5-2",VALUE(MID(D191,6,2))&lt;4,"5-3",VALUE(MID(D191,6,2))&lt;5,"5-4",VALUE(MID(D191,6,2))&lt;8,"5-7",VALUE(MID(D191,6,2))&lt;10,"5-9",VALUE(MID(D191,6,2))&gt;9,"5-12"),_xlfn.IFS(VALUE(MID(D191,6,2))&lt;8,"6-7",VALUE(MID(D191,6,2))&gt;7,"6-12"))&amp;"用、S45C相当"))</f>
        <v/>
      </c>
      <c r="D218" s="35"/>
      <c r="E218" s="35"/>
      <c r="F218" s="36"/>
      <c r="G218" s="52" t="str" cm="1">
        <f t="array" ref="G218">IF(MID(D191,1,2)="除去",_xlfn.SINGLE(IF(D192="防食Ⅰ","","W="&amp;IF(MID(D191,4,1)="5",_xlfn.IFS(VALUE(MID(D191,6,2))&lt;4,1.8,VALUE(MID(D191,6,2))&lt;5,2,VALUE(MID(D191,6,2))&lt;8,2.7,VALUE(MID(D191,6,2))&gt;7,5),_xlfn.IFS(VALUE(MID(D191,6,2))=1,1.8,VALUE(MID(D191,6,2))&lt;3,2,VALUE(MID(D191,6,2))&lt;5,2.7,VALUE(MID(D191,6,2))&lt;8,5,VALUE(MID(D191,6,2))&gt;7,12.3)))),"N=1")</f>
        <v/>
      </c>
      <c r="H218" s="64"/>
      <c r="I218" s="53"/>
      <c r="J218" s="7" t="str">
        <f>IF(MID(D191,1,2)="除去",IF(D192="防食Ⅰ","","kg"),"個")</f>
        <v/>
      </c>
      <c r="K218" s="130" t="str">
        <f>IF(D191="　","",IF(MID(D191,1,2)="除去",MID(G218,3,4),MID(G218,3,2)))</f>
        <v/>
      </c>
      <c r="L218" s="30" t="str">
        <f>IFERROR(D196*K218,"")</f>
        <v/>
      </c>
    </row>
    <row r="219" spans="2:12" ht="12" customHeight="1">
      <c r="B219" s="6" t="str">
        <f>IF(MID(D191,1,2)="除去",IF(D192="防食Ⅰ","","止水具スペーサ"),"くさび")</f>
        <v/>
      </c>
      <c r="C219" s="34" t="str">
        <f>IF(D191="　","",IF(MID(D191,1,2)="除去",IF(D192="防食Ⅰ","",MID(D191,3,5)&amp;"用、NBR45相当"),MID(D191,3,5)&amp;"用、"&amp;IF(MID(D191,4,1)="5","φ12.7","φ15.2")&amp;"、SCM415相当"))</f>
        <v/>
      </c>
      <c r="D219" s="35"/>
      <c r="E219" s="35"/>
      <c r="F219" s="36"/>
      <c r="G219" s="52" t="str">
        <f>IF(D191="　","",IF(MID(D191,1,2)="除去",IF(D192="防食Ⅰ","","N="&amp;1),"N="&amp;MID(D191,6,2)))</f>
        <v/>
      </c>
      <c r="H219" s="64"/>
      <c r="I219" s="53"/>
      <c r="J219" s="7" t="str">
        <f>IF(MID(D191,1,2)="除去",IF(D192="防食Ⅰ","","個"),"組")</f>
        <v/>
      </c>
      <c r="K219" s="130" t="str">
        <f>IF(D191="　","",IF(MID(D191,1,2)="除去",MID(G219,3,2),MID(G219,3,2)))</f>
        <v/>
      </c>
      <c r="L219" s="30" t="str">
        <f>IFERROR(D196*K219,"")</f>
        <v/>
      </c>
    </row>
    <row r="220" spans="2:12" ht="12" customHeight="1">
      <c r="B220" s="6" t="str">
        <f>IF(MID(D191,1,2)="除去",IF(D192="防食Ⅰ","","配列スペーサ"),"サンタックシーラー")</f>
        <v/>
      </c>
      <c r="C220" s="34" t="str">
        <f>IF(D191="　","",IF(MID(D191,1,2)="除去",IF(D192="防食Ⅰ","","J"&amp;IF(MID(D191,4,1)="5",_xlfn.IFS(VALUE(MID(D191,6,2))=3,"5-3",VALUE(MID(D191,6,2))&lt;5,"5-4",VALUE(MID(D191,6,2))&lt;8,"5-7",VALUE(MID(D191,6,2))&gt;7,"5-12"),_xlfn.IFS(VALUE(MID(D191,6,2))=3,"6-3",VALUE(MID(D191,6,2))&lt;5,"6-4",VALUE(MID(D191,6,2))&lt;8,"6-7",VALUE(MID(D191,6,2))&gt;7,"6-12"))&amp;"用、ポリエチレン"),""))</f>
        <v/>
      </c>
      <c r="D220" s="35"/>
      <c r="E220" s="35"/>
      <c r="F220" s="36"/>
      <c r="G220" s="52" t="str" cm="1">
        <f t="array" ref="G220">IF(D191="　","",IF(MID(D191,1,2)="除去",IF(D192="防食Ⅰ","","N="&amp;1),"N="&amp;IF(MID(D191,4,1)="5",_xlfn.IFS(VALUE(MID(D191,6,2))&lt;5,0.03,VALUE(MID(D191,6,2))&lt;8,0.04,VALUE(MID(D191,6,2))&lt;13,0.06),_xlfn.IFS(VALUE(MID(D191,6,2))&lt;4,0.03,VALUE(MID(D191,6,2))&lt;6,0.04,VALUE(MID(D191,6,2))&lt;9,0.06,VALUE(MID(D191,6,2))&gt;8,0.09))&amp;"巻/本"))</f>
        <v/>
      </c>
      <c r="H220" s="64"/>
      <c r="I220" s="53"/>
      <c r="J220" s="7" t="str">
        <f>IF(MID(D191,1,2)="除去",IF(D192="防食Ⅰ","","個"),"巻")</f>
        <v/>
      </c>
      <c r="K220" s="130" t="str">
        <f>IF(D191="　","",IF(MID(D191,1,2)="除去",MID(G220,3,2),MID(G220,3,4)))</f>
        <v/>
      </c>
      <c r="L220" s="30" t="str">
        <f>IFERROR(D196*K220,"")</f>
        <v/>
      </c>
    </row>
    <row r="221" spans="2:12" ht="12" customHeight="1">
      <c r="B221" s="6" t="str">
        <f>IF(MID(D191,1,2)="除去","","結束テープ")</f>
        <v/>
      </c>
      <c r="C221" s="34" t="str">
        <f>IF(D191="　","",IF(MID(D191,1,2)="除去","",""))</f>
        <v/>
      </c>
      <c r="D221" s="35"/>
      <c r="E221" s="35"/>
      <c r="F221" s="36"/>
      <c r="G221" s="52" t="str" cm="1">
        <f t="array" ref="G221">IF(D191="　","",IF(MID(D191,1,2)="除去","","L=(自由長+緊張余長)×係数"&amp;IF(MID(D191,4,1)="5",_xlfn.IFS(VALUE(MID(D191,6,2))&lt;5,"1.0",VALUE(MID(D191,6,2))&lt;8,"1.1",VALUE(MID(D191,6,2))&lt;13,"1.2"),_xlfn.IFS(VALUE(MID(D191,6,2))&lt;4,"1.0",VALUE(MID(D191,6,2))&lt;6,"1.1",VALUE(MID(D191,6,2))&lt;9,"1.2",VALUE(MID(D191,6,2))&gt;8,"1.4"))))</f>
        <v/>
      </c>
      <c r="H221" s="64"/>
      <c r="I221" s="53"/>
      <c r="J221" s="7" t="str">
        <f>IF(MID(D191,1,2)="除去","","m")</f>
        <v/>
      </c>
      <c r="K221" s="6" t="str">
        <f>IF(D191="　","",IF(MID(D191,1,2)="除去","",MROUND(SUM(D197,D199:D200)*RIGHT(G221,3),0.1)))</f>
        <v/>
      </c>
      <c r="L221" s="30" t="str">
        <f>IFERROR(D196*K221,"")</f>
        <v/>
      </c>
    </row>
    <row r="222" spans="2:12" ht="12" customHeight="1">
      <c r="B222" s="126" t="str">
        <f>IF(MID(D191,1,2)="除去","","防錆材")</f>
        <v/>
      </c>
      <c r="C222" s="126" t="str">
        <f>IF(D191="　","",IF(MID(D191,1,2)="除去","","自由長部塗布"))</f>
        <v/>
      </c>
      <c r="D222" s="35"/>
      <c r="E222" s="35"/>
      <c r="F222" s="35"/>
      <c r="G222" s="128" t="str">
        <f>IF(MID(D191,1,2)="除去","","W=(自由長-0.5m)×鋼線本数×0.0646kg")</f>
        <v/>
      </c>
      <c r="H222" s="35"/>
      <c r="I222" s="125"/>
      <c r="J222" s="48" t="str">
        <f>IF(MID(D191,1,2)="除去","","kg")</f>
        <v/>
      </c>
      <c r="K222" s="6" t="str">
        <f>IF(D191="　","",IF(MID(D191,1,2)="除去","",MROUND((D197+D199-0.5)*MID(D191,6,2)*0.0646,0.1)))</f>
        <v/>
      </c>
      <c r="L222" s="30" t="str">
        <f>IFERROR(D196*K222,"")</f>
        <v/>
      </c>
    </row>
    <row r="223" spans="2:12" ht="12" customHeight="1">
      <c r="B223" s="6" t="str">
        <f>IF(D193="なし","",B193)</f>
        <v/>
      </c>
      <c r="C223" s="34" t="str" cm="1">
        <f t="array" ref="C223">IF(D191="　","",IF(D193="なし","",_xlfn.IFS(MID(B193,1,3)="のり面",_xlfn.IFS(VALUE(MID(D191,6,2))&lt;5,"ST170",VALUE(MID(D191,6,2))&lt;8,"ST200",VALUE(MID(D191,6,2))&lt;13,"ST200")&amp;"、FCD450相当",OR(MID(B193,1,3)="構造物",MID(B193,1,3)="土留め"),D191&amp;"用"&amp;IF(OR(MID(B193,1,3)="構造物",D194="　"),"",D194&amp;"/"&amp;E194))&amp;"、防食："&amp;_xlfn.IFS(D192="防食Ⅰ","無処理",D192="防食Ⅱ","亜鉛めっき処理",D192="防食Ⅲ","ｱﾙﾐﾅｲｽﾞ処理")))</f>
        <v/>
      </c>
      <c r="D223" s="35"/>
      <c r="E223" s="35"/>
      <c r="F223" s="36"/>
      <c r="G223" s="52" t="str">
        <f>IF(D193="なし","","N=1")</f>
        <v/>
      </c>
      <c r="H223" s="64"/>
      <c r="I223" s="53"/>
      <c r="J223" s="7" t="str">
        <f>IF(D193="なし","","台")</f>
        <v/>
      </c>
      <c r="K223" s="130" t="str">
        <f>IF(D191="　","",MID(G223,3,2))</f>
        <v/>
      </c>
      <c r="L223" s="30" t="str">
        <f>IF(K223="","",D196*K223)</f>
        <v/>
      </c>
    </row>
    <row r="224" spans="2:12" ht="12" customHeight="1">
      <c r="B224" s="6" t="str">
        <f>IF(D195="なし","","フリーパッカー注入ホース")</f>
        <v/>
      </c>
      <c r="C224" s="34" t="str">
        <f>IF(D191="　","",IF(B224="","","16/20"))</f>
        <v/>
      </c>
      <c r="D224" s="35"/>
      <c r="E224" s="35"/>
      <c r="F224" s="36"/>
      <c r="G224" s="127" t="str">
        <f>IF(B224="","","L=自由長+頭部自由長+緊張余長")</f>
        <v/>
      </c>
      <c r="H224" s="64"/>
      <c r="I224" s="53"/>
      <c r="J224" s="7" t="str">
        <f>IF(D195="なし","","m")</f>
        <v/>
      </c>
      <c r="K224" s="6" t="str">
        <f>IF(D191="　","",IF(B224="","",MROUND(SUM(D197,D199:D200),0.1)))</f>
        <v/>
      </c>
      <c r="L224" s="30" t="str">
        <f>IF(K224="","",D196*K224)</f>
        <v/>
      </c>
    </row>
    <row r="225" spans="2:12" ht="12" customHeight="1">
      <c r="B225" s="6" t="str">
        <f>IF(D195="なし","","フリーパッカー")</f>
        <v/>
      </c>
      <c r="C225" s="52" t="str">
        <f>IF(D191="　","",_xlfn.SINGLE(IF(B224="","",_xlfn.IFS(D203=90,"PA-170",D203=115,"PA-200",D203&lt;147,"PA-240",D203&gt;147,"PA-350"))))</f>
        <v/>
      </c>
      <c r="D225" s="35"/>
      <c r="E225" s="35"/>
      <c r="F225" s="36"/>
      <c r="G225" s="129" t="str">
        <f>IF(B225="","","L=自由長+0.5m")</f>
        <v/>
      </c>
      <c r="H225" s="80"/>
      <c r="I225" s="81"/>
      <c r="J225" s="7" t="str">
        <f>IF(D195="なし","","m")</f>
        <v/>
      </c>
      <c r="K225" s="30" t="str">
        <f>IF(D191="　","",IF(B225="","",MROUND(D197+0.5,0.1)))</f>
        <v/>
      </c>
      <c r="L225" s="30" t="str">
        <f>IF(K225="","",D196*K225)</f>
        <v/>
      </c>
    </row>
    <row r="226" spans="2:12" ht="12" customHeight="1">
      <c r="B226" s="6" t="str">
        <f>IF(D195="なし","","パッカー取付加工")</f>
        <v/>
      </c>
      <c r="C226" s="34"/>
      <c r="D226" s="35"/>
      <c r="E226" s="35"/>
      <c r="F226" s="36"/>
      <c r="G226" s="52" t="str">
        <f>IF(B226="","","N=1")</f>
        <v/>
      </c>
      <c r="H226" s="64"/>
      <c r="I226" s="53"/>
      <c r="J226" s="7" t="str">
        <f>IF(D195="なし","","式")</f>
        <v/>
      </c>
      <c r="K226" s="130" t="str">
        <f>IF(D191="　","",MID(G226,3,2))</f>
        <v/>
      </c>
      <c r="L226" s="30" t="str">
        <f>IF(K226="","",D196*K226)</f>
        <v/>
      </c>
    </row>
    <row r="227" spans="2:12" ht="12" customHeight="1">
      <c r="B227" s="9"/>
      <c r="C227" s="52"/>
      <c r="D227" s="35"/>
      <c r="E227" s="35"/>
      <c r="F227" s="36"/>
      <c r="G227" s="57"/>
      <c r="H227" s="65"/>
      <c r="I227" s="107"/>
      <c r="J227" s="10"/>
      <c r="K227" s="30"/>
      <c r="L227" s="30"/>
    </row>
    <row r="228" spans="2:12" ht="12" customHeight="1">
      <c r="B228" s="11"/>
      <c r="C228" s="42"/>
      <c r="D228" s="37"/>
      <c r="E228" s="37"/>
      <c r="F228" s="38"/>
      <c r="G228" s="58"/>
      <c r="H228" s="66"/>
      <c r="I228" s="54"/>
      <c r="J228" s="12"/>
      <c r="K228" s="11"/>
      <c r="L228" s="11"/>
    </row>
    <row r="229" spans="2:12" ht="12" customHeight="1">
      <c r="B229" s="14" t="s">
        <v>30</v>
      </c>
      <c r="C229" s="43" t="s">
        <v>31</v>
      </c>
      <c r="D229" s="40"/>
      <c r="E229" s="40"/>
      <c r="F229" s="41"/>
      <c r="G229" s="59" t="s">
        <v>56</v>
      </c>
      <c r="H229" s="67"/>
      <c r="I229" s="108"/>
      <c r="J229" s="2" t="s">
        <v>55</v>
      </c>
      <c r="K229" s="31">
        <f>IFERROR(MROUND(0.25*PI()*(0.001*D206)^2*(D197+D198+D203+D205)*(1+2.2),0.01),"")</f>
        <v>0.33</v>
      </c>
      <c r="L229" s="31">
        <f>IFERROR(D196*K229,"")</f>
        <v>1.32</v>
      </c>
    </row>
    <row r="232" spans="2:12" ht="12" customHeight="1">
      <c r="B232" s="251" t="s">
        <v>95</v>
      </c>
      <c r="C232" s="251"/>
      <c r="D232" s="251"/>
      <c r="E232" s="251"/>
    </row>
    <row r="233" spans="2:12" ht="12" customHeight="1">
      <c r="B233" s="15" t="s">
        <v>94</v>
      </c>
      <c r="C233" s="15"/>
      <c r="D233" s="1"/>
      <c r="E233" s="1"/>
      <c r="F233" s="1"/>
    </row>
    <row r="234" spans="2:12" ht="12" customHeight="1">
      <c r="B234" s="111" t="s">
        <v>77</v>
      </c>
      <c r="C234" s="3"/>
      <c r="D234" t="str">
        <f>IF(AND(MID(D237,1,2)="残置",MID(D238,3,1)&lt;&gt;"Ⅰ"),"【注意】 残置アンカーは、防食Ⅰ限定です。EHDアンカーに変更してください。","")</f>
        <v/>
      </c>
      <c r="E234" s="1"/>
      <c r="F234" s="1"/>
      <c r="G234" s="8"/>
      <c r="H234" s="8"/>
      <c r="I234" s="102"/>
      <c r="J234" s="28"/>
    </row>
    <row r="235" spans="2:12" ht="12" customHeight="1">
      <c r="B235" s="15" t="s">
        <v>40</v>
      </c>
      <c r="C235" s="3"/>
      <c r="D235" s="1"/>
      <c r="E235" s="1"/>
      <c r="F235" s="1"/>
      <c r="G235" s="15" t="s">
        <v>54</v>
      </c>
      <c r="H235" s="15"/>
      <c r="I235" s="102"/>
      <c r="J235" s="28"/>
    </row>
    <row r="236" spans="2:12" ht="12" customHeight="1">
      <c r="B236" s="2" t="s">
        <v>53</v>
      </c>
      <c r="C236" s="2" t="s">
        <v>21</v>
      </c>
      <c r="D236" s="2" t="s">
        <v>22</v>
      </c>
      <c r="E236" s="2" t="s">
        <v>84</v>
      </c>
      <c r="F236" s="17"/>
      <c r="G236" s="2" t="s">
        <v>41</v>
      </c>
      <c r="H236" s="97" t="s">
        <v>59</v>
      </c>
      <c r="I236" s="49" t="s">
        <v>44</v>
      </c>
      <c r="J236" s="2" t="s">
        <v>21</v>
      </c>
      <c r="K236" s="49" t="s">
        <v>29</v>
      </c>
      <c r="L236" s="2" t="s">
        <v>28</v>
      </c>
    </row>
    <row r="237" spans="2:12" ht="12" customHeight="1">
      <c r="B237" s="51" t="s">
        <v>37</v>
      </c>
      <c r="C237" s="50" t="s">
        <v>38</v>
      </c>
      <c r="D237" s="70" t="s">
        <v>76</v>
      </c>
      <c r="E237" s="137" t="s">
        <v>71</v>
      </c>
      <c r="F237" s="17"/>
      <c r="G237" s="86" t="str">
        <f>IF(D249=0,"",G238)</f>
        <v/>
      </c>
      <c r="H237" s="87" t="str">
        <f>IF(D249=0,"",H239&amp;" (背面管部）")</f>
        <v/>
      </c>
      <c r="I237" s="88" t="str">
        <f>IF(D249=0,"",D250)</f>
        <v/>
      </c>
      <c r="J237" s="89" t="str">
        <f>IF(D249=0,"","m")</f>
        <v/>
      </c>
      <c r="K237" s="90" t="str">
        <f>IF(D249=0,"",D249)</f>
        <v/>
      </c>
      <c r="L237" s="29" t="str">
        <f>IF(D249=0,"",D242*K237)</f>
        <v/>
      </c>
    </row>
    <row r="238" spans="2:12" ht="12" customHeight="1">
      <c r="B238" s="52" t="s">
        <v>39</v>
      </c>
      <c r="C238" s="91" t="s">
        <v>38</v>
      </c>
      <c r="D238" s="71" t="s">
        <v>82</v>
      </c>
      <c r="E238" s="7"/>
      <c r="F238" s="17"/>
      <c r="G238" s="68" t="s">
        <v>43</v>
      </c>
      <c r="H238" s="68" t="s">
        <v>72</v>
      </c>
      <c r="I238" s="88" t="str" cm="1">
        <f t="array" ref="I238">_xlfn.IFS(AND(G238&lt;&gt;"非削孔",G238&lt;&gt;"無設定"),D252,G238="非削孔",IF(MID(B239,1,3)="土留め","非削孔","箱抜き"),G238="無設定","無設定")</f>
        <v>非削孔</v>
      </c>
      <c r="J238" s="23" t="str">
        <f>IF(G238="無設定","","m")</f>
        <v>m</v>
      </c>
      <c r="K238" s="69">
        <v>0.8</v>
      </c>
      <c r="L238" s="30">
        <f>D242*K238</f>
        <v>0</v>
      </c>
    </row>
    <row r="239" spans="2:12" ht="12" customHeight="1">
      <c r="B239" s="115" t="s">
        <v>70</v>
      </c>
      <c r="C239" s="91" t="s">
        <v>38</v>
      </c>
      <c r="D239" s="83" t="s">
        <v>52</v>
      </c>
      <c r="E239" s="139" t="str">
        <f>IF(OR(MID(B239,1,3)&lt;&gt;"土留め",D239="なし"),"","腹起し")</f>
        <v>腹起し</v>
      </c>
      <c r="F239" s="19"/>
      <c r="G239" s="68" t="s">
        <v>92</v>
      </c>
      <c r="H239" s="68" t="s">
        <v>97</v>
      </c>
      <c r="I239" s="88" cm="1">
        <f t="array" ref="I239">_xlfn.IFS(AND(G239&lt;&gt;"非削孔",G239&lt;&gt;"無設定"),D252,G239="非削孔","箱抜き",G239="無設定","無設定")</f>
        <v>135</v>
      </c>
      <c r="J239" s="23" t="str">
        <f t="shared" ref="J239" si="9">IF(G239="無設定","","m")</f>
        <v>m</v>
      </c>
      <c r="K239" s="69">
        <v>0</v>
      </c>
      <c r="L239" s="30">
        <f>D242*K239</f>
        <v>0</v>
      </c>
    </row>
    <row r="240" spans="2:12" ht="12" customHeight="1">
      <c r="B240" s="114" t="str">
        <f>IF(OR(MID(B239,1,3)&lt;&gt;"土留め",D239="なし"),"",B239&amp;"の種類")</f>
        <v>土留め台座の種類</v>
      </c>
      <c r="C240" s="91" t="s">
        <v>38</v>
      </c>
      <c r="D240" s="113" t="s">
        <v>46</v>
      </c>
      <c r="E240" s="122" t="s">
        <v>96</v>
      </c>
      <c r="F240" s="21"/>
      <c r="G240" s="68" t="s">
        <v>48</v>
      </c>
      <c r="H240" s="68"/>
      <c r="I240" s="88" t="str" cm="1">
        <f t="array" ref="I240">_xlfn.IFS(AND(G240&lt;&gt;"非削孔",G240&lt;&gt;"無設定"),D252,G240="非削孔","箱抜き",G240="無設定","無設定")</f>
        <v>無設定</v>
      </c>
      <c r="J240" s="23" t="str">
        <f>IF(G240="無設定","","m")</f>
        <v/>
      </c>
      <c r="K240" s="69">
        <v>0</v>
      </c>
      <c r="L240" s="30">
        <f>D242*K240</f>
        <v>0</v>
      </c>
    </row>
    <row r="241" spans="2:12" ht="12" customHeight="1">
      <c r="B241" s="147" t="s">
        <v>50</v>
      </c>
      <c r="C241" s="91" t="s">
        <v>38</v>
      </c>
      <c r="D241" s="83" t="s">
        <v>51</v>
      </c>
      <c r="E241" s="19"/>
      <c r="F241" s="21"/>
      <c r="G241" s="68" t="s">
        <v>48</v>
      </c>
      <c r="H241" s="68"/>
      <c r="I241" s="88" t="str" cm="1">
        <f t="array" ref="I241">_xlfn.IFS(AND(G241&lt;&gt;"非削孔",G241&lt;&gt;"無設定"),D252,G241="非削孔","箱抜き",G241="無設定","無設定")</f>
        <v>無設定</v>
      </c>
      <c r="J241" s="23" t="str">
        <f t="shared" ref="J241:J247" si="10">IF(G241="無設定","","m")</f>
        <v/>
      </c>
      <c r="K241" s="69">
        <v>0</v>
      </c>
      <c r="L241" s="30">
        <f>D242*K241</f>
        <v>0</v>
      </c>
    </row>
    <row r="242" spans="2:12" ht="12" customHeight="1">
      <c r="B242" s="22" t="s">
        <v>25</v>
      </c>
      <c r="C242" s="23" t="s">
        <v>24</v>
      </c>
      <c r="D242" s="92">
        <v>0</v>
      </c>
      <c r="E242" s="21"/>
      <c r="F242" s="21"/>
      <c r="G242" s="68" t="s">
        <v>48</v>
      </c>
      <c r="H242" s="68"/>
      <c r="I242" s="88" t="str" cm="1">
        <f t="array" ref="I242">_xlfn.IFS(AND(G242&lt;&gt;"非削孔",G242&lt;&gt;"無設定"),D252,G242="非削孔","箱抜き",G242="無設定","無設定")</f>
        <v>無設定</v>
      </c>
      <c r="J242" s="23" t="str">
        <f t="shared" si="10"/>
        <v/>
      </c>
      <c r="K242" s="69">
        <v>0</v>
      </c>
      <c r="L242" s="30">
        <f>D242*K242</f>
        <v>0</v>
      </c>
    </row>
    <row r="243" spans="2:12" ht="12" customHeight="1">
      <c r="B243" s="22" t="s">
        <v>108</v>
      </c>
      <c r="C243" s="23" t="s">
        <v>23</v>
      </c>
      <c r="D243" s="47">
        <v>0</v>
      </c>
      <c r="E243" s="21"/>
      <c r="F243" s="21"/>
      <c r="G243" s="68" t="s">
        <v>61</v>
      </c>
      <c r="H243" s="68"/>
      <c r="I243" s="88" t="str" cm="1">
        <f t="array" ref="I243">_xlfn.IFS(AND(G243&lt;&gt;"非削孔",G243&lt;&gt;"無設定"),D252,G243="非削孔","箱抜き",G243="無設定","無設定")</f>
        <v>無設定</v>
      </c>
      <c r="J243" s="23" t="str">
        <f t="shared" si="10"/>
        <v/>
      </c>
      <c r="K243" s="69">
        <v>0</v>
      </c>
      <c r="L243" s="30">
        <f>D242*K243</f>
        <v>0</v>
      </c>
    </row>
    <row r="244" spans="2:12" ht="12" customHeight="1">
      <c r="B244" s="22" t="s">
        <v>36</v>
      </c>
      <c r="C244" s="23" t="s">
        <v>23</v>
      </c>
      <c r="D244" s="47">
        <v>0</v>
      </c>
      <c r="E244" s="21"/>
      <c r="F244" s="21"/>
      <c r="G244" s="68" t="s">
        <v>48</v>
      </c>
      <c r="H244" s="68"/>
      <c r="I244" s="88" t="str" cm="1">
        <f t="array" ref="I244">_xlfn.IFS(AND(G244&lt;&gt;"非削孔",G244&lt;&gt;"無設定"),D252,G244="非削孔","箱抜き",G244="無設定","無設定")</f>
        <v>無設定</v>
      </c>
      <c r="J244" s="23" t="str">
        <f t="shared" si="10"/>
        <v/>
      </c>
      <c r="K244" s="69">
        <v>0</v>
      </c>
      <c r="L244" s="30">
        <f>D242*K244</f>
        <v>0</v>
      </c>
    </row>
    <row r="245" spans="2:12" ht="12" customHeight="1">
      <c r="B245" s="148" t="str" cm="1">
        <f t="array" ref="B245">"頭部自由長("&amp;_xlfn.IFS(AND(MID(B239,1,3)="土留め",D239="あり"),"腹起し+台座",AND(MID(B239,1,3)="土留め",D239="なし"),"台座なし",AND(MID(B239,1,3)="構造物",D239="あり"),"壁面台座",AND(MID(B239,1,3)="構造物",D239="なし"),"台座なし",AND(MID(B239,1,3)="のり面",D239="あり"),"角度台座＋受圧体",AND(MID(B239,1,3)="のり面",D239="なし"),"受圧体")&amp;")　"&amp;"Lfh"</f>
        <v>頭部自由長(腹起し+台座)　Lfh</v>
      </c>
      <c r="C245" s="23" t="s">
        <v>23</v>
      </c>
      <c r="D245" s="47">
        <v>0.8</v>
      </c>
      <c r="E245" s="21"/>
      <c r="F245" s="21"/>
      <c r="G245" s="68" t="s">
        <v>48</v>
      </c>
      <c r="H245" s="68"/>
      <c r="I245" s="88" t="str" cm="1">
        <f t="array" ref="I245">_xlfn.IFS(AND(G245&lt;&gt;"非削孔",G245&lt;&gt;"無設定"),D252,G245="非削孔","箱抜き",G245="無設定","無設定")</f>
        <v>無設定</v>
      </c>
      <c r="J245" s="23" t="str">
        <f t="shared" si="10"/>
        <v/>
      </c>
      <c r="K245" s="69">
        <v>0</v>
      </c>
      <c r="L245" s="30">
        <f>D242*K245</f>
        <v>0</v>
      </c>
    </row>
    <row r="246" spans="2:12" ht="12" customHeight="1">
      <c r="B246" s="146" t="s">
        <v>69</v>
      </c>
      <c r="C246" s="23" t="s">
        <v>23</v>
      </c>
      <c r="D246" s="24">
        <f>IF(D237="　","──",IF(MID(D237,6,2)*IF(MID(D237,4,1)="5",183,261)*IF(MID(D238,3,1)="Ⅰ",0.65,0.6)*IF(MID(D237,1,2)="除去",0.9,1)&lt;=700,1,1.5))</f>
        <v>1</v>
      </c>
      <c r="E246" s="120"/>
      <c r="G246" s="68" t="s">
        <v>48</v>
      </c>
      <c r="H246" s="68"/>
      <c r="I246" s="88" t="str" cm="1">
        <f t="array" ref="I246">_xlfn.IFS(AND(G246&lt;&gt;"非削孔",G246&lt;&gt;"無設定"),D252,G246="非削孔","箱抜き",G246="無設定","無設定")</f>
        <v>無設定</v>
      </c>
      <c r="J246" s="23" t="str">
        <f t="shared" si="10"/>
        <v/>
      </c>
      <c r="K246" s="69">
        <v>0</v>
      </c>
      <c r="L246" s="30">
        <f>D242*K246</f>
        <v>0</v>
      </c>
    </row>
    <row r="247" spans="2:12" ht="12" customHeight="1">
      <c r="B247" s="6" t="s">
        <v>109</v>
      </c>
      <c r="C247" s="23" t="s">
        <v>23</v>
      </c>
      <c r="D247" s="60">
        <f>IF(D237="　","──",SUM(D243:D246))</f>
        <v>1.8</v>
      </c>
      <c r="E247" s="121"/>
      <c r="F247" s="19"/>
      <c r="G247" s="99" t="str" cm="1">
        <f t="array" ref="G247">INDEX(G238:I246,MATCH("無設定",G238:G246,0)-1,MATCH(G236,G236:I236,0))</f>
        <v>砂質土</v>
      </c>
      <c r="H247" s="100" t="str" cm="1">
        <f t="array" ref="H247">INDEX(G238:I246,MATCH("無設定",G238:G246,0)-1,MATCH(H236,G236:I236,0))&amp;"　(先端削孔長)"</f>
        <v>軟質～硬質シラス　(先端削孔長)</v>
      </c>
      <c r="I247" s="88" cm="1">
        <f t="array" ref="I247">INDEX(G238:I246,MATCH("無設定",G238:G246,0)-1,MATCH(I236,G236:I236,0))</f>
        <v>135</v>
      </c>
      <c r="J247" s="23" t="str">
        <f t="shared" si="10"/>
        <v>m</v>
      </c>
      <c r="K247" s="98">
        <f>D251</f>
        <v>0.2</v>
      </c>
      <c r="L247" s="78">
        <f>IFERROR(D242*K247,"")</f>
        <v>0</v>
      </c>
    </row>
    <row r="248" spans="2:12" ht="12" customHeight="1">
      <c r="B248" s="22" t="s">
        <v>75</v>
      </c>
      <c r="C248" s="23" t="s">
        <v>35</v>
      </c>
      <c r="D248" s="84">
        <f>IF(D237="　","──",IF(MID(D237,1,2)="除去",0,0.2))</f>
        <v>0</v>
      </c>
      <c r="E248" s="123"/>
      <c r="F248" s="19"/>
      <c r="G248" s="72"/>
      <c r="H248" s="75" t="s">
        <v>45</v>
      </c>
      <c r="I248" s="103"/>
      <c r="J248" s="18" t="s">
        <v>23</v>
      </c>
      <c r="K248" s="74">
        <f>SUMIFS(K237:K247,G237:G247,"&lt;&gt;非削孔",G237:G247,"&lt;&gt;無設定")</f>
        <v>0.2</v>
      </c>
      <c r="L248" s="95">
        <f>SUMIFS(L237:L247,G237:G247,"&lt;&gt;非削孔",G237:G247,"&lt;&gt;無設定")</f>
        <v>0</v>
      </c>
    </row>
    <row r="249" spans="2:12" ht="12" customHeight="1">
      <c r="B249" s="22" t="s">
        <v>73</v>
      </c>
      <c r="C249" s="23" t="s">
        <v>35</v>
      </c>
      <c r="D249" s="85">
        <v>0</v>
      </c>
      <c r="E249" s="123"/>
      <c r="F249" s="19"/>
      <c r="G249" s="73"/>
      <c r="H249" s="76" t="s">
        <v>47</v>
      </c>
      <c r="I249" s="104"/>
      <c r="J249" s="79" t="s">
        <v>46</v>
      </c>
      <c r="K249" s="77" t="str">
        <f>IF(D237="　","",IF(SUM(D243:D245,D249,D251)=K248+SUMIFS(K237:K247,G237:G247,"=非削孔"),"OK","NG"))</f>
        <v>OK</v>
      </c>
      <c r="L249" s="145" t="str">
        <f>IF(K249&lt;&gt;"NG","──",K248+SUMIFS(K237:K247,G237:G247,"=非削孔")-SUM(D243:D245,D249,D251))</f>
        <v>──</v>
      </c>
    </row>
    <row r="250" spans="2:12" ht="12" customHeight="1">
      <c r="B250" s="22" t="str">
        <f>IF(D237="　","",IF(D249=0,"","頭部背面管削孔径　Dh"))</f>
        <v/>
      </c>
      <c r="C250" s="23" t="str">
        <f>IF(D237="　","",IF(D249=0,"","mm"))</f>
        <v/>
      </c>
      <c r="D250" s="93" t="str" cm="1">
        <f t="array" ref="D250">IF(D237="　","",IF(D249=0,"",IF(MID(D237,4,1)="5",_xlfn.IFS(VALUE(MID(D237,6,2))&lt;7,115,VALUE(MID(D237,6,2))&gt;6,135),"未設定")))</f>
        <v/>
      </c>
      <c r="E250" s="121"/>
      <c r="F250" s="19"/>
      <c r="G250" s="94" t="s">
        <v>58</v>
      </c>
      <c r="H250" s="252" t="s">
        <v>62</v>
      </c>
      <c r="I250" s="253"/>
      <c r="J250" s="253"/>
      <c r="K250" s="253"/>
      <c r="L250" s="254"/>
    </row>
    <row r="251" spans="2:12" ht="12" customHeight="1">
      <c r="B251" s="25" t="s">
        <v>74</v>
      </c>
      <c r="C251" s="26" t="s">
        <v>23</v>
      </c>
      <c r="D251" s="27">
        <f>IF(MID(D237,1,2)="残置",0.25,0.2)</f>
        <v>0.2</v>
      </c>
      <c r="E251" s="117"/>
      <c r="F251" s="1"/>
      <c r="G251" s="8"/>
      <c r="H251" s="8"/>
      <c r="I251" s="102"/>
    </row>
    <row r="252" spans="2:12" ht="12" customHeight="1">
      <c r="B252" s="25" t="s">
        <v>57</v>
      </c>
      <c r="C252" s="26" t="s">
        <v>32</v>
      </c>
      <c r="D252" s="82" cm="1">
        <f t="array" ref="D252">IF(D237="　","──",IF(E252="　",_xlfn.IFS(MID(D237,1,2)="除去",IF(MID(D237,4,1)="5",135,165),MID(D237,1,2)="残置",IF(MID(D237,4,1)="5",IF(VALUE(MID(D237,6,2))&lt;8,115,135),IF(VALUE(MID(D237,6,2))&lt;10,146,165))),E252))</f>
        <v>135</v>
      </c>
      <c r="E252" s="142" t="s">
        <v>71</v>
      </c>
      <c r="F252" s="1"/>
      <c r="G252" s="8"/>
      <c r="H252" s="8"/>
      <c r="I252" s="102"/>
    </row>
    <row r="253" spans="2:12" ht="12" customHeight="1">
      <c r="F253" s="1"/>
      <c r="G253" s="8"/>
      <c r="H253" s="8"/>
      <c r="I253" s="102"/>
    </row>
    <row r="254" spans="2:12" ht="12" customHeight="1">
      <c r="B254" s="15" t="str">
        <f>"■"&amp;MID(B232,2,17)</f>
        <v>■短期仮設：KJS除去アンカー数量表</v>
      </c>
      <c r="C254" s="3"/>
      <c r="D254" s="1"/>
      <c r="E254" s="1"/>
      <c r="F254" s="1"/>
      <c r="G254" s="8"/>
      <c r="H254" s="8"/>
      <c r="I254" s="102"/>
    </row>
    <row r="255" spans="2:12" ht="12" customHeight="1">
      <c r="B255" s="2" t="s">
        <v>17</v>
      </c>
      <c r="C255" s="43"/>
      <c r="D255" s="134"/>
      <c r="E255" s="61" t="s">
        <v>78</v>
      </c>
      <c r="F255" s="135"/>
      <c r="G255" s="16"/>
      <c r="H255" s="61" t="s">
        <v>42</v>
      </c>
      <c r="I255" s="97"/>
      <c r="J255" s="2" t="s">
        <v>21</v>
      </c>
      <c r="K255" s="49" t="s">
        <v>29</v>
      </c>
      <c r="L255" s="2" t="s">
        <v>28</v>
      </c>
    </row>
    <row r="256" spans="2:12" ht="12" customHeight="1">
      <c r="B256" s="4" t="str">
        <f>IF(MID(D237,1,2)="除去","アンボンド","")&amp;"PCストランド"</f>
        <v>アンボンドPCストランド</v>
      </c>
      <c r="C256" s="39" t="str">
        <f>IF(D237="　","",D237&amp;"("&amp;MID(D237,6,2)&amp;IF(MID(D237,4,1)="5","φ12.7","φ15.2")&amp;")")</f>
        <v>除去J5-2(2φ12.7)</v>
      </c>
      <c r="D256" s="32"/>
      <c r="E256" s="32"/>
      <c r="F256" s="33"/>
      <c r="G256" s="143" t="str">
        <f>"W="&amp;IF(MID(D237,1,2)="除去","(ﾃﾝﾄﾞﾝ長+ｱﾝｶｰ体長×(1/鋼線本数-0.5))","(テンドン長+先端長0.2m)")&amp;"×鋼線本数×"&amp;IF(MID(D237,4,1)="5","0.774","1.101")&amp;"kg/m"</f>
        <v>W=(ﾃﾝﾄﾞﾝ長+ｱﾝｶｰ体長×(1/鋼線本数-0.5))×鋼線本数×0.774kg/m</v>
      </c>
      <c r="H256" s="62"/>
      <c r="I256" s="105"/>
      <c r="J256" s="5" t="s">
        <v>11</v>
      </c>
      <c r="K256" s="29">
        <f>IF(D237="　","",MROUND(IF(MID(D237,1,2)="除去",D247+D244*(1/MID(D237,6,2)-0.5),D247+D248)*MID(D237,6,2)*IF(MID(D237,4,1)="5","0.774","1.101"),0.01))</f>
        <v>2.79</v>
      </c>
      <c r="L256" s="29">
        <f>IFERROR(D242*K256,"")</f>
        <v>0</v>
      </c>
    </row>
    <row r="257" spans="2:12" ht="12" customHeight="1">
      <c r="B257" s="6" t="s">
        <v>20</v>
      </c>
      <c r="C257" s="34"/>
      <c r="D257" s="35"/>
      <c r="E257" s="35"/>
      <c r="F257" s="36"/>
      <c r="G257" s="56" t="str">
        <f>"L=テンドン長"&amp;IF(MID(D237,1,2)="除去","+アンカー体長×(1/鋼線本数-0.5))","")</f>
        <v>L=テンドン長+アンカー体長×(1/鋼線本数-0.5))</v>
      </c>
      <c r="H257" s="63"/>
      <c r="I257" s="106"/>
      <c r="J257" s="7" t="s">
        <v>12</v>
      </c>
      <c r="K257" s="30">
        <f>IF(D237="　","",MROUND(D247+IF(MID(D237,1,2)="除去",D244*(1/MID(D237,6,2)-0.5),0),0.1))</f>
        <v>1.8</v>
      </c>
      <c r="L257" s="30">
        <f>IFERROR(D242*K257,"")</f>
        <v>0</v>
      </c>
    </row>
    <row r="258" spans="2:12" ht="12" customHeight="1">
      <c r="B258" s="6" t="str">
        <f>IF(MID(D237,1,2)="除去","耐荷体","注入ホース")</f>
        <v>耐荷体</v>
      </c>
      <c r="C258" s="34" t="str" cm="1">
        <f t="array" ref="C258">IF(D237="　","",IF(MID(D237,1,2)="除去",IF(MID(D237,1,2)="除去",MID(D237,3,2)&amp;"用Bタイプ、FCD450相当"&amp;_xlfn.IFS(MID(D238,3,1)="Ⅰ","",MID(D238,3,1)="Ⅱ","、亜鉛めっき処理",MID(D238,3,1)="Ⅲ","、ｱﾙﾐﾅｲｽﾞ処理"),""),"1/2″"))</f>
        <v>J5用Bタイプ、FCD450相当</v>
      </c>
      <c r="D258" s="35"/>
      <c r="E258" s="35"/>
      <c r="F258" s="36"/>
      <c r="G258" s="127" t="str">
        <f>IF(MID(D237,1,2)="除去","N="&amp;0.5*MID(D237,6,2),"L=テンドン長")</f>
        <v>N=1</v>
      </c>
      <c r="H258" s="63"/>
      <c r="I258" s="106"/>
      <c r="J258" s="7" t="str">
        <f>IF(MID(D237,1,2)="除去","個","m")</f>
        <v>個</v>
      </c>
      <c r="K258" s="130" t="str">
        <f>IF(D237="　","",IF(MID(D237,1,2)="除去",MID(G258,3,2),MROUND(D247,0.1)))</f>
        <v>1</v>
      </c>
      <c r="L258" s="30">
        <f>IFERROR(D242*K258,"")</f>
        <v>0</v>
      </c>
    </row>
    <row r="259" spans="2:12" ht="12" customHeight="1">
      <c r="B259" s="109" t="str">
        <f>IF(MID(D237,1,2)="除去","結束テープ","パイロットキャップ")</f>
        <v>結束テープ</v>
      </c>
      <c r="C259" s="34" t="str" cm="1">
        <f t="array" ref="C259">IF(D237="　","",IF(MID(D237,1,2)="除去","","Ｊ"&amp;IF(MID(D237,4,1)="5",_xlfn.IFS(VALUE(MID(D237,6,2))&lt;5,"5-4",VALUE(MID(D237,6,2))&lt;8,"5-7",VALUE(MID(D237,6,2))&lt;10,"5-9",VALUE(MID(D237,6,2))&gt;9,"5-12"),_xlfn.IFS(VALUE(MID(D237,6,2))&lt;10,"6-9",VALUE(MID(D237,6,2))&lt;13,"6-12",VALUE(MID(D237,6,2))&gt;12,"6-19"))&amp;"用、"&amp;IF(AND(MID(D237,4,1)="6",VALUE(MID(D237,6,2))&gt;9),"AC2A","ポリプロピレン")))</f>
        <v/>
      </c>
      <c r="D259" s="35"/>
      <c r="E259" s="35"/>
      <c r="F259" s="36"/>
      <c r="G259" s="52" t="str">
        <f>IF(MID(D237,1,2)="除去","L=(自由長+頭部自由長+緊張余長)÷2.0mピッチ","N=1")</f>
        <v>L=(自由長+頭部自由長+緊張余長)÷2.0mピッチ</v>
      </c>
      <c r="H259" s="110"/>
      <c r="I259" s="53"/>
      <c r="J259" s="7" t="str">
        <f>IF(MID(D237,1,2)="除去","m","個")</f>
        <v>m</v>
      </c>
      <c r="K259" s="130">
        <f>IF(D237="　","",IF(MID(D237,1,2)="除去",MROUND(SUM(D243,D245:D246)/2,0.01),MID(G259,3,2)))</f>
        <v>0.9</v>
      </c>
      <c r="L259" s="30">
        <f>IFERROR(D242*K259,"")</f>
        <v>0</v>
      </c>
    </row>
    <row r="260" spans="2:12" ht="12" customHeight="1">
      <c r="B260" s="109" t="str">
        <f>IF(MID(D237,1,2)="除去",IF(D238="防食Ⅰ","アンカープレート","溝付アンカープレート"),"スペーサ")</f>
        <v>アンカープレート</v>
      </c>
      <c r="C260" s="96" t="str" cm="1">
        <f t="array" ref="C260">IF(D237="　","",_xlfn.SINGLE(IF(MID(D237,1,2)="除去","J"&amp;_xlfn.SINGLE(IF(MID(D237,4,1)="5",_xlfn.IFS(VALUE(MID(D237,6,2))&lt;3,"5-2",VALUE(MID(D237,6,2))&lt;5,"5-4",VALUE(MID(D237,6,2))&lt;7,"5-7",VALUE(MID(D237,6,2))&lt;10,"5-9",VALUE(MID(D237,6,2))&gt;9,"5-12"),_xlfn.IFS(VALUE(MID(D237,6,2))&lt;13,"6-12")))&amp;"用、"&amp;IF(D238="防食Ⅰ","SS400相当","SS400・STKM13A相当、防食：")&amp;_xlfn.IFS(D238="防食Ⅰ","無処理",D238="防食Ⅱ","亜鉛めっき処理",D238="防食Ⅲ","ｱﾙﾐﾅｲｽﾞ処理"),"J"&amp;IF(MID(D237,4,1)="5",_xlfn.IFS(VALUE(MID(D237,6,2))&lt;8,"5-7",VALUE(MID(D237,6,2))&gt;7,"5-12"),_xlfn.IFS(VALUE(MID(D237,6,2))&lt;8,"6-7",VALUE(MID(D237,6,2))&lt;13,"6-12",VALUE(MID(D237,6,2))&gt;12,"6-19"))&amp;"用、"&amp;IF(AND(MID(D237,4,1)="6",VALUE(MID(D237,6,2))&gt;9),"AC2B","ポリプロピレン"))))</f>
        <v>J5-2用、SS400相当無処理</v>
      </c>
      <c r="D260" s="35"/>
      <c r="E260" s="35"/>
      <c r="F260" s="36"/>
      <c r="G260" s="127" t="str">
        <f>IF(MID(D237,1,2)="除去","N=1","N=アンカー体÷1.0mピッチ")</f>
        <v>N=1</v>
      </c>
      <c r="H260" s="63"/>
      <c r="I260" s="106"/>
      <c r="J260" s="7" t="str">
        <f>IF(MID(D237,1,2)="除去","枚","m")</f>
        <v>枚</v>
      </c>
      <c r="K260" s="130" t="str">
        <f>IF(D237="　","",IF(D237="　","",IF(MID(D237,1,2)="除去",MID(G260,3,2),MROUND(D244/1,1))))</f>
        <v>1</v>
      </c>
      <c r="L260" s="30">
        <f>IFERROR(D242*K260,"")</f>
        <v>0</v>
      </c>
    </row>
    <row r="261" spans="2:12" ht="12" customHeight="1">
      <c r="B261" s="109" t="str">
        <f>IF(MID(D237,1,2)="除去","アンカーヘッド","結束バンド")</f>
        <v>アンカーヘッド</v>
      </c>
      <c r="C261" s="34" t="str">
        <f>IF(D237="　","",IF(MID(D237,1,2)="除去","J"&amp;IF(MID(D237,4,1)="5",_xlfn.IFS(VALUE(MID(D237,6,2))&lt;3,"5-2",VALUE(MID(D237,6,2))&lt;4,"5-3",VALUE(MID(D237,6,2))&lt;5,"5-4",VALUE(MID(D237,6,2))&lt;8,"5-7",VALUE(MID(D237,6,2))&lt;10,"5-9",VALUE(MID(D237,6,2))&gt;9,"5-12"),_xlfn.IFS(VALUE(MID(D237,6,2))&lt;8,"6-7",VALUE(MID(D237,6,2))&gt;7,"6-12"))&amp;"用、S45C相当","AB350、66ナイロン"))</f>
        <v>J5-2用、S45C相当</v>
      </c>
      <c r="D261" s="35"/>
      <c r="E261" s="35"/>
      <c r="F261" s="36"/>
      <c r="G261" s="127" t="str">
        <f>IF(MID(D237,1,2)="除去","N=1","N=スペーサ数×2")</f>
        <v>N=1</v>
      </c>
      <c r="H261" s="63"/>
      <c r="I261" s="106"/>
      <c r="J261" s="7" t="str">
        <f>IF(MID(D237,1,2)="除去","個","本")</f>
        <v>個</v>
      </c>
      <c r="K261" s="130" t="str">
        <f>IF(D237="　","",IF(MID(D237,1,2)="除去",MID(G261,3,2),2*K260))</f>
        <v>1</v>
      </c>
      <c r="L261" s="30">
        <f>IFERROR(D242*K261,"")</f>
        <v>0</v>
      </c>
    </row>
    <row r="262" spans="2:12" ht="12" customHeight="1">
      <c r="B262" s="6" t="str">
        <f>IF(MID(D237,1,2)="除去","くさび","ポリホース")</f>
        <v>くさび</v>
      </c>
      <c r="C262" s="34" t="str">
        <f>IF(D237="　","",IF(MID(D237,1,2)="除去",MID(D237,3,5)&amp;"用、"&amp;IF(MID(D237,4,1)="5","φ12.7","φ15.2")&amp;"、SCM415相当","1-1/2″"))</f>
        <v>J5-2用、φ12.7、SCM415相当</v>
      </c>
      <c r="D262" s="35"/>
      <c r="E262" s="35"/>
      <c r="F262" s="36"/>
      <c r="G262" s="127" t="str">
        <f>IF(MID(D237,1,2)="除去","N="&amp;MID(D237,6,2),"L=自由長-0.5m")</f>
        <v>N=2</v>
      </c>
      <c r="H262" s="63"/>
      <c r="I262" s="106"/>
      <c r="J262" s="7" t="str">
        <f>IF(MID(D237,1,2)="除去","組","m")</f>
        <v>組</v>
      </c>
      <c r="K262" s="130" t="str">
        <f>IF(D237="　","",IF(MID(D237,1,2)="除去",MID(G262,3,2),D243+D245-0.5))</f>
        <v>2</v>
      </c>
      <c r="L262" s="30">
        <f>IFERROR(D242*K262,"")</f>
        <v>0</v>
      </c>
    </row>
    <row r="263" spans="2:12" ht="12" customHeight="1">
      <c r="B263" s="6" t="str">
        <f>IF(MID(D237,1,2)="除去",IF(D238="防食Ⅰ","","ヘッドキャップ"),"アンカープレート")</f>
        <v/>
      </c>
      <c r="C263" s="96" t="str" cm="1">
        <f t="array" ref="C263">IF(D237="　","",IF(MID(D237,1,2)="除去",IF(D238="防食Ⅰ","","J"&amp;_xlfn.SINGLE(IF(MID(D237,4,1)="5",_xlfn.IFS(VALUE(MID(D237,6,2))&lt;5,"5-4",VALUE(MID(D237,6,2))&lt;8,"5-7",VALUE(MID(D237,6,2))&gt;7,"5-12"),"未設定"))&amp;"RN用、AC4C相当"&amp;IF(D238="防食Ⅱ","","、防食：タケコート処理")),"J"&amp;_xlfn.SINGLE(IF(MID(D237,4,1)="5",_xlfn.IFS(VALUE(MID(D237,6,2))&lt;3,"5-2",VALUE(MID(D237,6,2))&lt;5,"5-4",VALUE(MID(D237,6,2))&lt;7,"5-7",VALUE(MID(D237,6,2))&lt;10,"5-9",VALUE(MID(D237,6,2))&gt;9,"5-12"),_xlfn.IFS(VALUE(MID(D237,6,2))&lt;13,"6-12")))&amp;"用、"&amp;IF(D238="防食Ⅰ","SS400相当","SS400・STKM13A相当、防食：")&amp;_xlfn.IFS(D238="防食Ⅰ","、防食：無処理",D238="防食Ⅱ","、防食：亜鉛めっき",D238="防食Ⅲ","、防食：ｱﾙﾐﾅｲｽﾞ")))</f>
        <v/>
      </c>
      <c r="D263" s="44"/>
      <c r="E263" s="44"/>
      <c r="F263" s="45"/>
      <c r="G263" s="52" t="str">
        <f>IF(MID(D237,1,2)="除去",IF(D238="防食Ⅰ","","N=1"),"N=1")</f>
        <v/>
      </c>
      <c r="H263" s="64"/>
      <c r="I263" s="53"/>
      <c r="J263" s="7" t="str">
        <f>IF(MID(D237,1,2)="除去",IF(D238="防食Ⅰ","","個"),"枚")</f>
        <v/>
      </c>
      <c r="K263" s="130" t="str">
        <f>IF(D237="　","",IF(MID(D237,1,2)="除去",MID(G263,3,2),MID(G263,3,2)))</f>
        <v/>
      </c>
      <c r="L263" s="30" t="str">
        <f>IFERROR(D242*K263,"")</f>
        <v/>
      </c>
    </row>
    <row r="264" spans="2:12" ht="12" customHeight="1">
      <c r="B264" s="6" t="str">
        <f>IF(MID(D237,1,2)="除去",IF(D238="防食Ⅰ","","頭部防錆油"),"アンカーヘッド")</f>
        <v/>
      </c>
      <c r="C264" s="34" t="str">
        <f>IF(D237="　","",IF(MID(D237,1,2)="除去",IF(D238="防食Ⅰ","","PCコートC"),"J"&amp;IF(MID(D237,4,1)="5",_xlfn.IFS(VALUE(MID(D237,6,2))&lt;3,"5-2",VALUE(MID(D237,6,2))&lt;4,"5-3",VALUE(MID(D237,6,2))&lt;5,"5-4",VALUE(MID(D237,6,2))&lt;8,"5-7",VALUE(MID(D237,6,2))&lt;10,"5-9",VALUE(MID(D237,6,2))&gt;9,"5-12"),_xlfn.IFS(VALUE(MID(D237,6,2))&lt;8,"6-7",VALUE(MID(D237,6,2))&gt;7,"6-12"))&amp;"用、S45C相当"))</f>
        <v/>
      </c>
      <c r="D264" s="35"/>
      <c r="E264" s="35"/>
      <c r="F264" s="36"/>
      <c r="G264" s="52" t="str" cm="1">
        <f t="array" ref="G264">IF(MID(D237,1,2)="除去",_xlfn.SINGLE(IF(D238="防食Ⅰ","","W="&amp;IF(MID(D237,4,1)="5",_xlfn.IFS(VALUE(MID(D237,6,2))&lt;4,1.8,VALUE(MID(D237,6,2))&lt;5,2,VALUE(MID(D237,6,2))&lt;8,2.7,VALUE(MID(D237,6,2))&gt;7,5),_xlfn.IFS(VALUE(MID(D237,6,2))=1,1.8,VALUE(MID(D237,6,2))&lt;3,2,VALUE(MID(D237,6,2))&lt;5,2.7,VALUE(MID(D237,6,2))&lt;8,5,VALUE(MID(D237,6,2))&gt;7,12.3)))),"N=1")</f>
        <v/>
      </c>
      <c r="H264" s="64"/>
      <c r="I264" s="53"/>
      <c r="J264" s="7" t="str">
        <f>IF(MID(D237,1,2)="除去",IF(D238="防食Ⅰ","","kg"),"個")</f>
        <v/>
      </c>
      <c r="K264" s="130" t="str">
        <f>IF(D237="　","",IF(MID(D237,1,2)="除去",MID(G264,3,4),MID(G264,3,2)))</f>
        <v/>
      </c>
      <c r="L264" s="30" t="str">
        <f>IFERROR(D242*K264,"")</f>
        <v/>
      </c>
    </row>
    <row r="265" spans="2:12" ht="12" customHeight="1">
      <c r="B265" s="6" t="str">
        <f>IF(MID(D237,1,2)="除去",IF(D238="防食Ⅰ","","止水具スペーサ"),"くさび")</f>
        <v/>
      </c>
      <c r="C265" s="34" t="str">
        <f>IF(D237="　","",IF(MID(D237,1,2)="除去",IF(D238="防食Ⅰ","",MID(D237,3,5)&amp;"用、NBR45相当"),MID(D237,3,5)&amp;"用、"&amp;IF(MID(D237,4,1)="5","φ12.7","φ15.2")&amp;"、SCM415相当"))</f>
        <v/>
      </c>
      <c r="D265" s="35"/>
      <c r="E265" s="35"/>
      <c r="F265" s="36"/>
      <c r="G265" s="52" t="str">
        <f>IF(D237="　","",IF(MID(D237,1,2)="除去",IF(D238="防食Ⅰ","","N="&amp;1),"N="&amp;MID(D237,6,2)))</f>
        <v/>
      </c>
      <c r="H265" s="64"/>
      <c r="I265" s="53"/>
      <c r="J265" s="7" t="str">
        <f>IF(MID(D237,1,2)="除去",IF(D238="防食Ⅰ","","個"),"組")</f>
        <v/>
      </c>
      <c r="K265" s="130" t="str">
        <f>IF(D237="　","",IF(MID(D237,1,2)="除去",MID(G265,3,2),MID(G265,3,2)))</f>
        <v/>
      </c>
      <c r="L265" s="30" t="str">
        <f>IFERROR(D242*K265,"")</f>
        <v/>
      </c>
    </row>
    <row r="266" spans="2:12" ht="12" customHeight="1">
      <c r="B266" s="6" t="str">
        <f>IF(MID(D237,1,2)="除去",IF(D238="防食Ⅰ","","配列スペーサ"),"サンタックシーラー")</f>
        <v/>
      </c>
      <c r="C266" s="34" t="str">
        <f>IF(D237="　","",IF(MID(D237,1,2)="除去",IF(D238="防食Ⅰ","","J"&amp;IF(MID(D237,4,1)="5",_xlfn.IFS(VALUE(MID(D237,6,2))=3,"5-3",VALUE(MID(D237,6,2))&lt;5,"5-4",VALUE(MID(D237,6,2))&lt;8,"5-7",VALUE(MID(D237,6,2))&gt;7,"5-12"),_xlfn.IFS(VALUE(MID(D237,6,2))=3,"6-3",VALUE(MID(D237,6,2))&lt;5,"6-4",VALUE(MID(D237,6,2))&lt;8,"6-7",VALUE(MID(D237,6,2))&gt;7,"6-12"))&amp;"用、ポリエチレン"),""))</f>
        <v/>
      </c>
      <c r="D266" s="35"/>
      <c r="E266" s="35"/>
      <c r="F266" s="36"/>
      <c r="G266" s="52" t="str" cm="1">
        <f t="array" ref="G266">IF(D237="　","",IF(MID(D237,1,2)="除去",IF(D238="防食Ⅰ","","N="&amp;1),"N="&amp;IF(MID(D237,4,1)="5",_xlfn.IFS(VALUE(MID(D237,6,2))&lt;5,0.03,VALUE(MID(D237,6,2))&lt;8,0.04,VALUE(MID(D237,6,2))&lt;13,0.06),_xlfn.IFS(VALUE(MID(D237,6,2))&lt;4,0.03,VALUE(MID(D237,6,2))&lt;6,0.04,VALUE(MID(D237,6,2))&lt;9,0.06,VALUE(MID(D237,6,2))&gt;8,0.09))&amp;"巻/本"))</f>
        <v/>
      </c>
      <c r="H266" s="64"/>
      <c r="I266" s="53"/>
      <c r="J266" s="7" t="str">
        <f>IF(MID(D237,1,2)="除去",IF(D238="防食Ⅰ","","個"),"巻")</f>
        <v/>
      </c>
      <c r="K266" s="130" t="str">
        <f>IF(D237="　","",IF(MID(D237,1,2)="除去",MID(G266,3,2),MID(G266,3,4)))</f>
        <v/>
      </c>
      <c r="L266" s="30" t="str">
        <f>IFERROR(D242*K266,"")</f>
        <v/>
      </c>
    </row>
    <row r="267" spans="2:12" ht="12" customHeight="1">
      <c r="B267" s="6" t="str">
        <f>IF(MID(D237,1,2)="除去","","結束テープ")</f>
        <v/>
      </c>
      <c r="C267" s="34" t="str">
        <f>IF(D237="　","",IF(MID(D237,1,2)="除去","",""))</f>
        <v/>
      </c>
      <c r="D267" s="35"/>
      <c r="E267" s="35"/>
      <c r="F267" s="36"/>
      <c r="G267" s="52" t="str" cm="1">
        <f t="array" ref="G267">IF(D237="　","",IF(MID(D237,1,2)="除去","","L=(自由長+緊張余長)×係数"&amp;IF(MID(D237,4,1)="5",_xlfn.IFS(VALUE(MID(D237,6,2))&lt;5,"1.0",VALUE(MID(D237,6,2))&lt;8,"1.1",VALUE(MID(D237,6,2))&lt;13,"1.2"),_xlfn.IFS(VALUE(MID(D237,6,2))&lt;4,"1.0",VALUE(MID(D237,6,2))&lt;6,"1.1",VALUE(MID(D237,6,2))&lt;9,"1.2",VALUE(MID(D237,6,2))&gt;8,"1.4"))))</f>
        <v/>
      </c>
      <c r="H267" s="64"/>
      <c r="I267" s="53"/>
      <c r="J267" s="7" t="str">
        <f>IF(MID(D237,1,2)="除去","","m")</f>
        <v/>
      </c>
      <c r="K267" s="6" t="str">
        <f>IF(D237="　","",IF(MID(D237,1,2)="除去","",MROUND(SUM(D243,D245:D246)*RIGHT(G267,3),0.1)))</f>
        <v/>
      </c>
      <c r="L267" s="30" t="str">
        <f>IFERROR(D242*K267,"")</f>
        <v/>
      </c>
    </row>
    <row r="268" spans="2:12" ht="12" customHeight="1">
      <c r="B268" s="126" t="str">
        <f>IF(MID(D237,1,2)="除去","","防錆材")</f>
        <v/>
      </c>
      <c r="C268" s="126" t="str">
        <f>IF(D237="　","",IF(MID(D237,1,2)="除去","","自由長部塗布"))</f>
        <v/>
      </c>
      <c r="D268" s="35"/>
      <c r="E268" s="35"/>
      <c r="F268" s="35"/>
      <c r="G268" s="128" t="str">
        <f>IF(MID(D237,1,2)="除去","","W=(自由長-0.5m)×鋼線本数×0.0646kg")</f>
        <v/>
      </c>
      <c r="H268" s="35"/>
      <c r="I268" s="125"/>
      <c r="J268" s="48" t="str">
        <f>IF(MID(D237,1,2)="除去","","kg")</f>
        <v/>
      </c>
      <c r="K268" s="6" t="str">
        <f>IF(D237="　","",IF(MID(D237,1,2)="除去","",MROUND((D243+D245-0.5)*MID(D237,6,2)*0.0646,0.1)))</f>
        <v/>
      </c>
      <c r="L268" s="30" t="str">
        <f>IFERROR(D242*K268,"")</f>
        <v/>
      </c>
    </row>
    <row r="269" spans="2:12" ht="12" customHeight="1">
      <c r="B269" s="6" t="str">
        <f>IF(D239="なし","",B239)</f>
        <v>土留め台座</v>
      </c>
      <c r="C269" s="34" t="str" cm="1">
        <f t="array" ref="C269">IF(D237="　","",IF(D239="なし","",_xlfn.IFS(MID(B239,1,3)="のり面",_xlfn.IFS(VALUE(MID(D237,6,2))&lt;5,"ST170",VALUE(MID(D237,6,2))&lt;8,"ST200",VALUE(MID(D237,6,2))&lt;13,"ST200")&amp;"、FCD450相当",OR(MID(B239,1,3)="構造物",MID(B239,1,3)="土留め"),D237&amp;"用"&amp;IF(OR(MID(B239,1,3)="構造物",D240="　"),"",D240&amp;"/"&amp;E240))&amp;"、防食："&amp;_xlfn.IFS(D238="防食Ⅰ","無処理",D238="防食Ⅱ","亜鉛めっき処理",D238="防食Ⅲ","ｱﾙﾐﾅｲｽﾞ処理")))</f>
        <v>除去J5-2用──/H300、防食：無処理</v>
      </c>
      <c r="D269" s="35"/>
      <c r="E269" s="35"/>
      <c r="F269" s="36"/>
      <c r="G269" s="52" t="str">
        <f>IF(D239="なし","","N=1")</f>
        <v>N=1</v>
      </c>
      <c r="H269" s="64"/>
      <c r="I269" s="53"/>
      <c r="J269" s="7" t="str">
        <f>IF(D239="なし","","台")</f>
        <v>台</v>
      </c>
      <c r="K269" s="130" t="str">
        <f>IF(D237="　","",MID(G269,3,2))</f>
        <v>1</v>
      </c>
      <c r="L269" s="30">
        <f>IF(K269="","",D242*K269)</f>
        <v>0</v>
      </c>
    </row>
    <row r="270" spans="2:12" ht="12" customHeight="1">
      <c r="B270" s="6" t="str">
        <f>IF(D241="なし","","フリーパッカー注入ホース")</f>
        <v/>
      </c>
      <c r="C270" s="34" t="str">
        <f>IF(D237="　","",IF(B270="","","16/20"))</f>
        <v/>
      </c>
      <c r="D270" s="35"/>
      <c r="E270" s="35"/>
      <c r="F270" s="36"/>
      <c r="G270" s="127" t="str">
        <f>IF(B270="","","L=自由長+頭部自由長+緊張余長")</f>
        <v/>
      </c>
      <c r="H270" s="64"/>
      <c r="I270" s="53"/>
      <c r="J270" s="7" t="str">
        <f>IF(D241="なし","","m")</f>
        <v/>
      </c>
      <c r="K270" s="6" t="str">
        <f>IF(D237="　","",IF(B270="","",MROUND(SUM(D243,D245:D246),0.1)))</f>
        <v/>
      </c>
      <c r="L270" s="30" t="str">
        <f>IF(K270="","",D242*K270)</f>
        <v/>
      </c>
    </row>
    <row r="271" spans="2:12" ht="12" customHeight="1">
      <c r="B271" s="6" t="str">
        <f>IF(D241="なし","","フリーパッカー")</f>
        <v/>
      </c>
      <c r="C271" s="52" t="str">
        <f>IF(D237="　","",_xlfn.SINGLE(IF(B270="","",_xlfn.IFS(D249=90,"PA-170",D249=115,"PA-200",D249&lt;147,"PA-240",D249&gt;147,"PA-350"))))</f>
        <v/>
      </c>
      <c r="D271" s="35"/>
      <c r="E271" s="35"/>
      <c r="F271" s="36"/>
      <c r="G271" s="129" t="str">
        <f>IF(B271="","","L=自由長+0.5m")</f>
        <v/>
      </c>
      <c r="H271" s="80"/>
      <c r="I271" s="81"/>
      <c r="J271" s="7" t="str">
        <f>IF(D241="なし","","m")</f>
        <v/>
      </c>
      <c r="K271" s="30" t="str">
        <f>IF(D237="　","",IF(B271="","",MROUND(D243+0.5,0.1)))</f>
        <v/>
      </c>
      <c r="L271" s="30" t="str">
        <f>IF(K271="","",D242*K271)</f>
        <v/>
      </c>
    </row>
    <row r="272" spans="2:12" ht="12" customHeight="1">
      <c r="B272" s="6" t="str">
        <f>IF(D241="なし","","パッカー取付加工")</f>
        <v/>
      </c>
      <c r="C272" s="34"/>
      <c r="D272" s="35"/>
      <c r="E272" s="35"/>
      <c r="F272" s="36"/>
      <c r="G272" s="52" t="str">
        <f>IF(B272="","","N=1")</f>
        <v/>
      </c>
      <c r="H272" s="64"/>
      <c r="I272" s="53"/>
      <c r="J272" s="7" t="str">
        <f>IF(D241="なし","","式")</f>
        <v/>
      </c>
      <c r="K272" s="130" t="str">
        <f>IF(D237="　","",MID(G272,3,2))</f>
        <v/>
      </c>
      <c r="L272" s="30" t="str">
        <f>IF(K272="","",D242*K272)</f>
        <v/>
      </c>
    </row>
    <row r="273" spans="2:12" ht="12" customHeight="1">
      <c r="B273" s="9"/>
      <c r="C273" s="52"/>
      <c r="D273" s="35"/>
      <c r="E273" s="35"/>
      <c r="F273" s="36"/>
      <c r="G273" s="57"/>
      <c r="H273" s="65"/>
      <c r="I273" s="107"/>
      <c r="J273" s="10"/>
      <c r="K273" s="30"/>
      <c r="L273" s="30"/>
    </row>
    <row r="274" spans="2:12" ht="12" customHeight="1">
      <c r="B274" s="11"/>
      <c r="C274" s="42"/>
      <c r="D274" s="37"/>
      <c r="E274" s="37"/>
      <c r="F274" s="38"/>
      <c r="G274" s="58"/>
      <c r="H274" s="66"/>
      <c r="I274" s="54"/>
      <c r="J274" s="12"/>
      <c r="K274" s="11"/>
      <c r="L274" s="11"/>
    </row>
    <row r="275" spans="2:12" ht="12" customHeight="1">
      <c r="B275" s="14" t="s">
        <v>30</v>
      </c>
      <c r="C275" s="43" t="s">
        <v>31</v>
      </c>
      <c r="D275" s="40"/>
      <c r="E275" s="40"/>
      <c r="F275" s="41"/>
      <c r="G275" s="59" t="s">
        <v>56</v>
      </c>
      <c r="H275" s="67"/>
      <c r="I275" s="108"/>
      <c r="J275" s="2" t="s">
        <v>55</v>
      </c>
      <c r="K275" s="31">
        <f>IFERROR(MROUND(0.25*PI()*(0.001*D252)^2*(D243+D244+D249+D251)*(1+2.2),0.01),"")</f>
        <v>0.01</v>
      </c>
      <c r="L275" s="31">
        <f>IFERROR(D242*K275,"")</f>
        <v>0</v>
      </c>
    </row>
  </sheetData>
  <mergeCells count="12">
    <mergeCell ref="B2:E2"/>
    <mergeCell ref="B48:E48"/>
    <mergeCell ref="B94:E94"/>
    <mergeCell ref="B140:E140"/>
    <mergeCell ref="B186:E186"/>
    <mergeCell ref="H250:L250"/>
    <mergeCell ref="B232:E232"/>
    <mergeCell ref="H20:L20"/>
    <mergeCell ref="H66:L66"/>
    <mergeCell ref="H112:L112"/>
    <mergeCell ref="H158:L158"/>
    <mergeCell ref="H204:L204"/>
  </mergeCells>
  <phoneticPr fontId="1"/>
  <conditionalFormatting sqref="D4">
    <cfRule type="containsText" dxfId="47" priority="30" operator="containsText" text="注意">
      <formula>NOT(ISERROR(SEARCH("注意",D4)))</formula>
    </cfRule>
  </conditionalFormatting>
  <conditionalFormatting sqref="D50">
    <cfRule type="containsText" dxfId="46" priority="29" operator="containsText" text="注意">
      <formula>NOT(ISERROR(SEARCH("注意",D50)))</formula>
    </cfRule>
  </conditionalFormatting>
  <conditionalFormatting sqref="D96">
    <cfRule type="containsText" dxfId="45" priority="28" operator="containsText" text="注意">
      <formula>NOT(ISERROR(SEARCH("注意",D96)))</formula>
    </cfRule>
  </conditionalFormatting>
  <conditionalFormatting sqref="D142">
    <cfRule type="containsText" dxfId="44" priority="27" operator="containsText" text="注意">
      <formula>NOT(ISERROR(SEARCH("注意",D142)))</formula>
    </cfRule>
  </conditionalFormatting>
  <conditionalFormatting sqref="D188">
    <cfRule type="containsText" dxfId="43" priority="26" operator="containsText" text="注意">
      <formula>NOT(ISERROR(SEARCH("注意",D188)))</formula>
    </cfRule>
  </conditionalFormatting>
  <conditionalFormatting sqref="D234">
    <cfRule type="containsText" dxfId="42" priority="25" operator="containsText" text="注意">
      <formula>NOT(ISERROR(SEARCH("注意",D234)))</formula>
    </cfRule>
  </conditionalFormatting>
  <conditionalFormatting sqref="K19">
    <cfRule type="cellIs" dxfId="41" priority="31" operator="equal">
      <formula>"NG"</formula>
    </cfRule>
    <cfRule type="cellIs" dxfId="40" priority="32" operator="equal">
      <formula>"OK"</formula>
    </cfRule>
  </conditionalFormatting>
  <conditionalFormatting sqref="K65">
    <cfRule type="cellIs" dxfId="39" priority="23" operator="equal">
      <formula>"NG"</formula>
    </cfRule>
    <cfRule type="cellIs" dxfId="38" priority="24" operator="equal">
      <formula>"OK"</formula>
    </cfRule>
  </conditionalFormatting>
  <conditionalFormatting sqref="K111">
    <cfRule type="cellIs" dxfId="37" priority="13" operator="equal">
      <formula>"NG"</formula>
    </cfRule>
    <cfRule type="cellIs" dxfId="36" priority="14" operator="equal">
      <formula>"OK"</formula>
    </cfRule>
  </conditionalFormatting>
  <conditionalFormatting sqref="K157">
    <cfRule type="cellIs" dxfId="35" priority="11" operator="equal">
      <formula>"NG"</formula>
    </cfRule>
    <cfRule type="cellIs" dxfId="34" priority="12" operator="equal">
      <formula>"OK"</formula>
    </cfRule>
  </conditionalFormatting>
  <conditionalFormatting sqref="K203">
    <cfRule type="cellIs" dxfId="33" priority="9" operator="equal">
      <formula>"NG"</formula>
    </cfRule>
    <cfRule type="cellIs" dxfId="32" priority="10" operator="equal">
      <formula>"OK"</formula>
    </cfRule>
  </conditionalFormatting>
  <conditionalFormatting sqref="K249">
    <cfRule type="cellIs" dxfId="31" priority="7" operator="equal">
      <formula>"NG"</formula>
    </cfRule>
    <cfRule type="cellIs" dxfId="30" priority="8" operator="equal">
      <formula>"OK"</formula>
    </cfRule>
  </conditionalFormatting>
  <conditionalFormatting sqref="L19">
    <cfRule type="expression" dxfId="29" priority="6">
      <formula>K19="NG"</formula>
    </cfRule>
  </conditionalFormatting>
  <conditionalFormatting sqref="L65">
    <cfRule type="expression" dxfId="28" priority="5">
      <formula>K65="NG"</formula>
    </cfRule>
  </conditionalFormatting>
  <conditionalFormatting sqref="L111">
    <cfRule type="expression" dxfId="27" priority="4">
      <formula>K111="NG"</formula>
    </cfRule>
  </conditionalFormatting>
  <conditionalFormatting sqref="L157">
    <cfRule type="expression" dxfId="26" priority="3">
      <formula>K157="NG"</formula>
    </cfRule>
  </conditionalFormatting>
  <conditionalFormatting sqref="L203">
    <cfRule type="expression" dxfId="25" priority="2">
      <formula>K203="NG"</formula>
    </cfRule>
  </conditionalFormatting>
  <conditionalFormatting sqref="L249">
    <cfRule type="expression" dxfId="24" priority="1">
      <formula>K249="NG"</formula>
    </cfRule>
  </conditionalFormatting>
  <dataValidations count="12">
    <dataValidation type="list" allowBlank="1" showInputMessage="1" showErrorMessage="1" sqref="D9 D101 D241 D193 D57 D11 D149 D239 D195 D103 D55 D147" xr:uid="{C85305BD-CF24-4FEA-A71D-87378A8419B7}">
      <formula1>"なし,あり"</formula1>
    </dataValidation>
    <dataValidation type="list" allowBlank="1" showInputMessage="1" showErrorMessage="1" sqref="H158 H66 H204 H112 H20 H250" xr:uid="{2261DACC-380C-4F47-90FF-B093F44C7039}">
      <formula1>"ﾛｰﾀﾘｰﾊﾟｰｶｯｼｮﾝ二重管削孔方式，ｽｷｯﾄﾞ型削孔機55kW級,ﾛｰﾀﾘｰﾊﾟｰｶｯｼｮﾝ二重管削孔方式，ｸﾛｰﾗ型削孔機81kW級"</formula1>
    </dataValidation>
    <dataValidation type="list" allowBlank="1" showInputMessage="1" showErrorMessage="1" sqref="G54:G62 G100:G108 G8:G16 G192:G200 G146:G154 G238:G246" xr:uid="{60E60422-B581-4DB8-8177-5137C5814794}">
      <formula1>"非削孔,粘性土,砂質土,崩積土,礫質土,砂　礫,玉　石,軟　岩,中硬岩,硬　岩,特殊地盤,無設定"</formula1>
    </dataValidation>
    <dataValidation type="list" allowBlank="1" showInputMessage="1" showErrorMessage="1" sqref="D100 D8 D238 D54 D192 D146" xr:uid="{17AC4D65-A46F-4A6C-9820-371ADE1D9C79}">
      <formula1>"防食Ⅰ,防食Ⅱ,防食Ⅲ"</formula1>
    </dataValidation>
    <dataValidation type="list" allowBlank="1" showInputMessage="1" showErrorMessage="1" sqref="D7 D99 D237 D53 D191 D145" xr:uid="{ECFE4C33-BD9B-43D5-8DDD-6179634BBD9D}">
      <formula1>"　,除去J5-2,除去J5-4,除去J5-6,除去J5-8,除去J5-10,除去J5-12,除去J6-10,残置J5-2,残置J5-3,残置J5-4,残置J5-5,残置J5-6,残置J5-7,残置J5-8,残置J5-9,残置J5-10,残置J5-11,残置J5-12,残置J6-7,残置J6-8,残置J6-9,残置J6-10,残置J6-11,残置J6-12"</formula1>
    </dataValidation>
    <dataValidation type="list" allowBlank="1" showInputMessage="1" showErrorMessage="1" sqref="B9 B55 B101 B193 B147 B239" xr:uid="{91061F8C-0445-4D10-B8DC-F7CF3C8B2AF0}">
      <formula1>"のり面角度台座,構造物壁面台座,土留め台座"</formula1>
    </dataValidation>
    <dataValidation type="list" allowBlank="1" showInputMessage="1" showErrorMessage="1" sqref="E56 E10 E240 E194 E102 E148" xr:uid="{3DFA49E4-F12E-4C16-BB2F-0695642AE4FC}">
      <formula1>"　,H300,H350,H400"</formula1>
    </dataValidation>
    <dataValidation type="list" allowBlank="1" showInputMessage="1" showErrorMessage="1" sqref="D10 D102 D56 D194 D240 D148" xr:uid="{3D4CC42C-BB5F-43F1-9DD6-4500E7856260}">
      <formula1>"　,──,DA220,DA440,DA660,DA880,DA1100,DA1320,DA1560,DB270,DB400,DB530,DB660,DB790,DB920,DB1050,DB1180,DB1310,DB1440,DB1580,DB1680,DB1870,DB2060,DB2340"</formula1>
    </dataValidation>
    <dataValidation type="list" allowBlank="1" showInputMessage="1" showErrorMessage="1" sqref="H8 H54 H192 H100 H146 H238" xr:uid="{5DED98CD-F7B1-4FFA-A7A5-F16AD848663C}">
      <formula1>"　,壁面台座,受圧板,角度台座＋受圧板,のり枠□300,のり枠□400,のり枠□500,のり枠□600,角度台座＋のり枠□300,角度台座＋のり枠□400,角度台座＋のり枠□500,角度台座＋のり枠□600,角度台座＋のり枠□600,腹起し＋土留め台座"</formula1>
    </dataValidation>
    <dataValidation type="list" allowBlank="1" showInputMessage="1" showErrorMessage="1" sqref="B2 B186 B48 B94 B140 B232" xr:uid="{D89A8547-6D96-42C1-A4A6-9610A45EF60B}">
      <formula1>"【短期仮設：KJS除去アンカー数量表・材料規格】,【長期仮設：KJS除去アンカー数量表・材料規格】,【短期仮設：KJS残置アンカー数量表・材料規格】"</formula1>
    </dataValidation>
    <dataValidation type="list" allowBlank="1" showInputMessage="1" showErrorMessage="1" sqref="E7 E99 E237 E191 E53 E145" xr:uid="{7E711040-70C4-4841-B6D9-2DB6C5CE79C2}">
      <formula1>"　,窓なしキャップ,窓付キャップ"</formula1>
    </dataValidation>
    <dataValidation type="list" allowBlank="1" showInputMessage="1" showErrorMessage="1" sqref="E22 E68 E114 E160 E206 E252" xr:uid="{82C93B4A-F044-413D-AFA3-CD686B9F2EFC}">
      <formula1>"　,90,115,135,165"</formula1>
    </dataValidation>
  </dataValidations>
  <printOptions horizontalCentered="1"/>
  <pageMargins left="0.23622047244094491" right="0.23622047244094491" top="0.74803149606299213" bottom="0.74803149606299213" header="0.31496062992125984" footer="0.31496062992125984"/>
  <pageSetup paperSize="9" scale="86" orientation="landscape" r:id="rId1"/>
  <rowBreaks count="5" manualBreakCount="5">
    <brk id="46" max="10" man="1"/>
    <brk id="92" max="10" man="1"/>
    <brk id="138" max="10" man="1"/>
    <brk id="184" max="10" man="1"/>
    <brk id="230"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sheetPr>
  <dimension ref="B2:W275"/>
  <sheetViews>
    <sheetView tabSelected="1" view="pageBreakPreview" zoomScale="70" zoomScaleNormal="85" zoomScaleSheetLayoutView="70" workbookViewId="0">
      <selection activeCell="C18" sqref="C18"/>
    </sheetView>
  </sheetViews>
  <sheetFormatPr defaultRowHeight="12" customHeight="1"/>
  <cols>
    <col min="1" max="1" width="1.875" customWidth="1"/>
    <col min="2" max="2" width="23" customWidth="1"/>
    <col min="3" max="3" width="5.375" customWidth="1"/>
    <col min="4" max="4" width="8.875" customWidth="1"/>
    <col min="5" max="5" width="9.625" customWidth="1"/>
    <col min="6" max="6" width="14.625" customWidth="1"/>
    <col min="7" max="7" width="9.875" customWidth="1"/>
    <col min="8" max="8" width="29.875" customWidth="1"/>
    <col min="9" max="9" width="6.375" style="101" customWidth="1"/>
    <col min="10" max="10" width="6.125" style="20" customWidth="1"/>
    <col min="11" max="12" width="9" style="20" customWidth="1"/>
  </cols>
  <sheetData>
    <row r="2" spans="2:12" ht="12" customHeight="1">
      <c r="B2" s="251" t="s">
        <v>80</v>
      </c>
      <c r="C2" s="251"/>
      <c r="D2" s="251"/>
      <c r="E2" s="251"/>
    </row>
    <row r="3" spans="2:12" ht="12" customHeight="1">
      <c r="B3" s="15" t="s">
        <v>94</v>
      </c>
      <c r="C3" s="15"/>
      <c r="D3" s="1"/>
      <c r="E3" s="1"/>
      <c r="F3" s="1"/>
    </row>
    <row r="4" spans="2:12" ht="12" customHeight="1">
      <c r="B4" s="111" t="s">
        <v>64</v>
      </c>
      <c r="D4" t="str">
        <f>IF(AND(MID(D7,1,2)="残置",MID(D8,3,1)&lt;&gt;"Ⅰ"),"【注意】 残置アンカーは、防食Ⅰ限定です。EHDアンカーに変更してください。","")</f>
        <v/>
      </c>
      <c r="E4" s="1"/>
      <c r="F4" s="1"/>
      <c r="G4" s="8"/>
      <c r="H4" s="8"/>
      <c r="I4" s="102"/>
      <c r="J4" s="28"/>
      <c r="K4" s="116"/>
    </row>
    <row r="5" spans="2:12" ht="12" customHeight="1">
      <c r="B5" s="15" t="s">
        <v>40</v>
      </c>
      <c r="E5" s="1"/>
      <c r="F5" s="1"/>
      <c r="G5" s="15" t="s">
        <v>54</v>
      </c>
      <c r="H5" s="15"/>
      <c r="I5" s="102"/>
      <c r="J5" s="28"/>
    </row>
    <row r="6" spans="2:12" ht="12" customHeight="1">
      <c r="B6" s="2" t="s">
        <v>53</v>
      </c>
      <c r="C6" s="2" t="s">
        <v>21</v>
      </c>
      <c r="D6" s="2" t="s">
        <v>22</v>
      </c>
      <c r="E6" s="2" t="s">
        <v>84</v>
      </c>
      <c r="F6" s="17"/>
      <c r="G6" s="2" t="s">
        <v>41</v>
      </c>
      <c r="H6" s="97" t="s">
        <v>59</v>
      </c>
      <c r="I6" s="49" t="s">
        <v>44</v>
      </c>
      <c r="J6" s="2" t="s">
        <v>21</v>
      </c>
      <c r="K6" s="49" t="s">
        <v>29</v>
      </c>
      <c r="L6" s="2" t="s">
        <v>28</v>
      </c>
    </row>
    <row r="7" spans="2:12" ht="12" customHeight="1">
      <c r="B7" s="51" t="s">
        <v>37</v>
      </c>
      <c r="C7" s="50" t="s">
        <v>38</v>
      </c>
      <c r="D7" s="70" t="s">
        <v>81</v>
      </c>
      <c r="E7" s="137" t="s">
        <v>71</v>
      </c>
      <c r="F7" s="17"/>
      <c r="G7" s="86" t="str">
        <f>IF(D19=0,"",G8)</f>
        <v/>
      </c>
      <c r="H7" s="87" t="str">
        <f>IF(D19=0,"",H9&amp;" (背面管部）")</f>
        <v/>
      </c>
      <c r="I7" s="88" t="str">
        <f>IF(D19=0,"",D20)</f>
        <v/>
      </c>
      <c r="J7" s="89" t="str">
        <f>IF(D19=0,"","m")</f>
        <v/>
      </c>
      <c r="K7" s="90" t="str">
        <f>IF(D19=0,"",D19)</f>
        <v/>
      </c>
      <c r="L7" s="29" t="str">
        <f>IF(D19=0,"",D12*K7)</f>
        <v/>
      </c>
    </row>
    <row r="8" spans="2:12" ht="12" customHeight="1">
      <c r="B8" s="52" t="s">
        <v>39</v>
      </c>
      <c r="C8" s="91" t="s">
        <v>38</v>
      </c>
      <c r="D8" s="71" t="s">
        <v>82</v>
      </c>
      <c r="E8" s="7"/>
      <c r="F8" s="17"/>
      <c r="G8" s="68" t="s">
        <v>43</v>
      </c>
      <c r="H8" s="68" t="s">
        <v>72</v>
      </c>
      <c r="I8" s="88" t="str" cm="1">
        <f t="array" ref="I8">_xlfn.IFS(AND(G8&lt;&gt;"非削孔",G8&lt;&gt;"無設定"),D22,G8="非削孔",IF(MID(B9,1,3)="土留め","非削孔","箱抜き"),G8="無設定","無設定")</f>
        <v>非削孔</v>
      </c>
      <c r="J8" s="23" t="str">
        <f>IF(G8="無設定","","m")</f>
        <v>m</v>
      </c>
      <c r="K8" s="69">
        <v>0.9</v>
      </c>
      <c r="L8" s="30">
        <f>D12*K8</f>
        <v>21.6</v>
      </c>
    </row>
    <row r="9" spans="2:12" ht="12" customHeight="1">
      <c r="B9" s="115" t="s">
        <v>70</v>
      </c>
      <c r="C9" s="91" t="s">
        <v>38</v>
      </c>
      <c r="D9" s="83" t="s">
        <v>52</v>
      </c>
      <c r="E9" s="139" t="str">
        <f>IF(OR(MID(B9,1,3)&lt;&gt;"土留め",D9="なし"),"","腹起し")</f>
        <v>腹起し</v>
      </c>
      <c r="F9" s="21"/>
      <c r="G9" s="68" t="s">
        <v>92</v>
      </c>
      <c r="H9" s="68" t="s">
        <v>91</v>
      </c>
      <c r="I9" s="88" cm="1">
        <f t="array" ref="I9">_xlfn.IFS(AND(G9&lt;&gt;"非削孔",G9&lt;&gt;"無設定"),D22,G9="非削孔","箱抜き",G9="無設定","無設定")</f>
        <v>135</v>
      </c>
      <c r="J9" s="23" t="str">
        <f t="shared" ref="J9:J17" si="0">IF(G9="無設定","","m")</f>
        <v>m</v>
      </c>
      <c r="K9" s="69">
        <v>6.7</v>
      </c>
      <c r="L9" s="30">
        <f>D12*K9</f>
        <v>160.80000000000001</v>
      </c>
    </row>
    <row r="10" spans="2:12" ht="12" customHeight="1">
      <c r="B10" s="114" t="str">
        <f>IF(OR(MID(B9,1,3)&lt;&gt;"土留め",D9="なし"),"",B9&amp;"の種類")</f>
        <v>土留め台座の種類</v>
      </c>
      <c r="C10" s="91" t="s">
        <v>38</v>
      </c>
      <c r="D10" s="113" t="s">
        <v>89</v>
      </c>
      <c r="E10" s="122" t="s">
        <v>67</v>
      </c>
      <c r="F10" s="21"/>
      <c r="G10" s="68" t="s">
        <v>49</v>
      </c>
      <c r="H10" s="68" t="s">
        <v>93</v>
      </c>
      <c r="I10" s="88" cm="1">
        <f t="array" ref="I10">_xlfn.IFS(AND(G10&lt;&gt;"非削孔",G10&lt;&gt;"無設定"),D22,G10="非削孔","箱抜き",G10="無設定","無設定")</f>
        <v>135</v>
      </c>
      <c r="J10" s="23" t="str">
        <f t="shared" si="0"/>
        <v>m</v>
      </c>
      <c r="K10" s="69">
        <v>8</v>
      </c>
      <c r="L10" s="30">
        <f>D12*K10</f>
        <v>192</v>
      </c>
    </row>
    <row r="11" spans="2:12" ht="12" customHeight="1">
      <c r="B11" s="147" t="s">
        <v>50</v>
      </c>
      <c r="C11" s="91" t="s">
        <v>38</v>
      </c>
      <c r="D11" s="83" t="s">
        <v>51</v>
      </c>
      <c r="E11" s="19"/>
      <c r="F11" s="21"/>
      <c r="G11" s="68" t="s">
        <v>48</v>
      </c>
      <c r="H11" s="68"/>
      <c r="I11" s="88" t="str" cm="1">
        <f t="array" ref="I11">_xlfn.IFS(AND(G11&lt;&gt;"非削孔",G11&lt;&gt;"無設定"),D22,G11="非削孔","箱抜き",G11="無設定","無設定")</f>
        <v>無設定</v>
      </c>
      <c r="J11" s="23" t="str">
        <f t="shared" si="0"/>
        <v/>
      </c>
      <c r="K11" s="69">
        <v>0</v>
      </c>
      <c r="L11" s="30">
        <f>D12*K11</f>
        <v>0</v>
      </c>
    </row>
    <row r="12" spans="2:12" ht="12" customHeight="1">
      <c r="B12" s="22" t="s">
        <v>25</v>
      </c>
      <c r="C12" s="23" t="s">
        <v>24</v>
      </c>
      <c r="D12" s="92">
        <v>24</v>
      </c>
      <c r="E12" s="21"/>
      <c r="F12" s="21"/>
      <c r="G12" s="68" t="s">
        <v>48</v>
      </c>
      <c r="H12" s="68"/>
      <c r="I12" s="88" t="str" cm="1">
        <f t="array" ref="I12">_xlfn.IFS(AND(G12&lt;&gt;"非削孔",G12&lt;&gt;"無設定"),D22,G12="非削孔","箱抜き",G12="無設定","無設定")</f>
        <v>無設定</v>
      </c>
      <c r="J12" s="23" t="str">
        <f t="shared" si="0"/>
        <v/>
      </c>
      <c r="K12" s="69">
        <v>0</v>
      </c>
      <c r="L12" s="30">
        <f>D12*K12</f>
        <v>0</v>
      </c>
    </row>
    <row r="13" spans="2:12" ht="12" customHeight="1">
      <c r="B13" s="22" t="s">
        <v>108</v>
      </c>
      <c r="C13" s="23" t="s">
        <v>23</v>
      </c>
      <c r="D13" s="47">
        <v>8.1999999999999993</v>
      </c>
      <c r="E13" s="21"/>
      <c r="F13" s="21"/>
      <c r="G13" s="68" t="s">
        <v>61</v>
      </c>
      <c r="H13" s="68"/>
      <c r="I13" s="88" t="str" cm="1">
        <f t="array" ref="I13">_xlfn.IFS(AND(G13&lt;&gt;"非削孔",G13&lt;&gt;"無設定"),D22,G13="非削孔","箱抜き",G13="無設定","無設定")</f>
        <v>無設定</v>
      </c>
      <c r="J13" s="23" t="str">
        <f t="shared" si="0"/>
        <v/>
      </c>
      <c r="K13" s="69">
        <v>0</v>
      </c>
      <c r="L13" s="30">
        <f>D12*K13</f>
        <v>0</v>
      </c>
    </row>
    <row r="14" spans="2:12" ht="12" customHeight="1">
      <c r="B14" s="22" t="s">
        <v>36</v>
      </c>
      <c r="C14" s="23" t="s">
        <v>23</v>
      </c>
      <c r="D14" s="47">
        <v>6.5</v>
      </c>
      <c r="E14" s="21"/>
      <c r="F14" s="21"/>
      <c r="G14" s="68" t="s">
        <v>48</v>
      </c>
      <c r="H14" s="68"/>
      <c r="I14" s="88" t="str" cm="1">
        <f t="array" ref="I14">_xlfn.IFS(AND(G14&lt;&gt;"非削孔",G14&lt;&gt;"無設定"),D22,G14="非削孔","箱抜き",G14="無設定","無設定")</f>
        <v>無設定</v>
      </c>
      <c r="J14" s="23" t="str">
        <f t="shared" si="0"/>
        <v/>
      </c>
      <c r="K14" s="69">
        <v>0</v>
      </c>
      <c r="L14" s="30">
        <f>D12*K14</f>
        <v>0</v>
      </c>
    </row>
    <row r="15" spans="2:12" ht="12" customHeight="1">
      <c r="B15" s="148" t="str" cm="1">
        <f t="array" ref="B15">"頭部自由長("&amp;_xlfn.IFS(AND(MID(B9,1,3)="土留め",D9="あり"),"腹起し+台座",AND(MID(B9,1,3)="土留め",D9="なし"),"台座なし",AND(MID(B9,1,3)="構造物",D9="あり"),"壁面台座",AND(MID(B9,1,3)="構造物",D9="なし"),"台座なし",AND(MID(B9,1,3)="のり面",D9="あり"),"角度台座＋受圧体",AND(MID(B9,1,3)="のり面",D9="なし"),"受圧体")&amp;")　"&amp;"Lfh"</f>
        <v>頭部自由長(腹起し+台座)　Lfh</v>
      </c>
      <c r="C15" s="23" t="s">
        <v>23</v>
      </c>
      <c r="D15" s="47">
        <v>0.9</v>
      </c>
      <c r="E15" s="21"/>
      <c r="F15" s="21"/>
      <c r="G15" s="68" t="s">
        <v>48</v>
      </c>
      <c r="H15" s="68"/>
      <c r="I15" s="88" t="str" cm="1">
        <f t="array" ref="I15">_xlfn.IFS(AND(G15&lt;&gt;"非削孔",G15&lt;&gt;"無設定"),D22,G15="非削孔","箱抜き",G15="無設定","無設定")</f>
        <v>無設定</v>
      </c>
      <c r="J15" s="23" t="str">
        <f t="shared" si="0"/>
        <v/>
      </c>
      <c r="K15" s="69">
        <v>0</v>
      </c>
      <c r="L15" s="30">
        <f>D12*K15</f>
        <v>0</v>
      </c>
    </row>
    <row r="16" spans="2:12" ht="12" customHeight="1">
      <c r="B16" s="146" t="s">
        <v>69</v>
      </c>
      <c r="C16" s="23" t="s">
        <v>23</v>
      </c>
      <c r="D16" s="24">
        <f>IF(D7="　","──",IF(MID(D7,6,2)*IF(MID(D7,4,1)="5",183,261)*IF(MID(D8,3,1)="Ⅰ",0.65,0.6)*IF(MID(D7,1,2)="除去",0.9,1)&lt;=700,1,1.5))</f>
        <v>1</v>
      </c>
      <c r="E16" s="120"/>
      <c r="G16" s="68" t="s">
        <v>48</v>
      </c>
      <c r="H16" s="68"/>
      <c r="I16" s="88" t="str" cm="1">
        <f t="array" ref="I16">_xlfn.IFS(AND(G16&lt;&gt;"非削孔",G16&lt;&gt;"無設定"),D22,G16="非削孔","箱抜き",G16="無設定","無設定")</f>
        <v>無設定</v>
      </c>
      <c r="J16" s="23" t="str">
        <f t="shared" si="0"/>
        <v/>
      </c>
      <c r="K16" s="69">
        <v>0</v>
      </c>
      <c r="L16" s="30">
        <f>D12*K16</f>
        <v>0</v>
      </c>
    </row>
    <row r="17" spans="2:23" ht="12" customHeight="1">
      <c r="B17" s="6" t="s">
        <v>109</v>
      </c>
      <c r="C17" s="23" t="s">
        <v>23</v>
      </c>
      <c r="D17" s="60">
        <f>IF(D7="　","──",SUM(D13:D16))</f>
        <v>16.600000000000001</v>
      </c>
      <c r="E17" s="121"/>
      <c r="F17" s="19"/>
      <c r="G17" s="99" t="str" cm="1">
        <f t="array" ref="G17">INDEX(G8:I16,MATCH("無設定",G8:G16,0)-1,MATCH(G6,G6:I6,0))</f>
        <v>軟　岩</v>
      </c>
      <c r="H17" s="100" t="str" cm="1">
        <f t="array" ref="H17">INDEX(G8:I16,MATCH("無設定",G8:G16,0)-1,MATCH(H6,G6:I6,0))&amp;"　(先端削孔長)"</f>
        <v>シルト岩砂岩互層　(先端削孔長)</v>
      </c>
      <c r="I17" s="88" cm="1">
        <f t="array" ref="I17">INDEX(G8:I16,MATCH("無設定",G8:G16,0)-1,MATCH(I6,G6:I6,0))</f>
        <v>135</v>
      </c>
      <c r="J17" s="23" t="str">
        <f t="shared" si="0"/>
        <v>m</v>
      </c>
      <c r="K17" s="98">
        <f>D21</f>
        <v>0.25</v>
      </c>
      <c r="L17" s="78">
        <f>IFERROR(D12*K17,"")</f>
        <v>6</v>
      </c>
    </row>
    <row r="18" spans="2:23" ht="12" customHeight="1">
      <c r="B18" s="22" t="s">
        <v>75</v>
      </c>
      <c r="C18" s="23" t="s">
        <v>35</v>
      </c>
      <c r="D18" s="84">
        <f>IF(D7="　","──",IF(MID(D7,1,2)="除去",0,0.2))</f>
        <v>0.2</v>
      </c>
      <c r="E18" s="123"/>
      <c r="F18" s="19"/>
      <c r="G18" s="72"/>
      <c r="H18" s="75" t="s">
        <v>45</v>
      </c>
      <c r="I18" s="103"/>
      <c r="J18" s="18" t="s">
        <v>23</v>
      </c>
      <c r="K18" s="74">
        <f>SUMIFS(K7:K17,G7:G17,"&lt;&gt;非削孔",G7:G17,"&lt;&gt;無設定")</f>
        <v>14.95</v>
      </c>
      <c r="L18" s="95">
        <f>SUMIFS(L7:L17,G7:G17,"&lt;&gt;非削孔",G7:G17,"&lt;&gt;無設定")</f>
        <v>358.8</v>
      </c>
    </row>
    <row r="19" spans="2:23" ht="12" customHeight="1">
      <c r="B19" s="22" t="s">
        <v>73</v>
      </c>
      <c r="C19" s="23" t="s">
        <v>35</v>
      </c>
      <c r="D19" s="85">
        <v>0</v>
      </c>
      <c r="E19" s="123"/>
      <c r="F19" s="19"/>
      <c r="G19" s="73"/>
      <c r="H19" s="76" t="s">
        <v>47</v>
      </c>
      <c r="I19" s="104"/>
      <c r="J19" s="79" t="s">
        <v>46</v>
      </c>
      <c r="K19" s="77" t="str">
        <f>IF(D7="　","",IF(SUM(D13:D15,D19,D21)=K18+SUMIFS(K7:K17,G7:G17,"=非削孔"),"OK","NG"))</f>
        <v>OK</v>
      </c>
      <c r="L19" s="145" t="str">
        <f>IF(K19&lt;&gt;"NG","──",K18+SUMIFS(K7:K17,G7:G17,"=非削孔")-SUM(D13:D15,D19,D21))</f>
        <v>──</v>
      </c>
    </row>
    <row r="20" spans="2:23" ht="12" customHeight="1">
      <c r="B20" s="22" t="str">
        <f>IF(D7="　","",IF(D19=0,"","頭部背面管削孔径　Dh"))</f>
        <v/>
      </c>
      <c r="C20" s="23" t="str">
        <f>IF(D7="　","",IF(D19=0,"","mm"))</f>
        <v/>
      </c>
      <c r="D20" s="93" t="str" cm="1">
        <f t="array" ref="D20">IF(D7="　","",IF(D19=0,"",IF(MID(D7,4,1)="5",_xlfn.IFS(VALUE(MID(D7,6,2))&lt;7,115,VALUE(MID(D7,6,2))&gt;6,135),"未設定")))</f>
        <v/>
      </c>
      <c r="E20" s="121"/>
      <c r="F20" s="19"/>
      <c r="G20" s="94" t="s">
        <v>58</v>
      </c>
      <c r="H20" s="252" t="s">
        <v>62</v>
      </c>
      <c r="I20" s="253"/>
      <c r="J20" s="253"/>
      <c r="K20" s="253"/>
      <c r="L20" s="254"/>
    </row>
    <row r="21" spans="2:23" ht="12" customHeight="1">
      <c r="B21" s="25" t="s">
        <v>74</v>
      </c>
      <c r="C21" s="26" t="s">
        <v>23</v>
      </c>
      <c r="D21" s="27">
        <f>IF(MID(D7,1,2)="残置",0.25,0.2)</f>
        <v>0.25</v>
      </c>
      <c r="E21" s="117"/>
      <c r="F21" s="1"/>
      <c r="G21" s="8"/>
      <c r="H21" s="8"/>
      <c r="I21" s="102"/>
    </row>
    <row r="22" spans="2:23" ht="12" customHeight="1">
      <c r="B22" s="25" t="s">
        <v>57</v>
      </c>
      <c r="C22" s="26" t="s">
        <v>32</v>
      </c>
      <c r="D22" s="82" cm="1">
        <f t="array" ref="D22">IF(D7="　","──",IF(E22="　",_xlfn.IFS(MID(D7,1,2)="除去",IF(MID(D7,4,1)="5",135,165),MID(D7,1,2)="残置",IF(MID(D7,4,1)="5",IF(VALUE(MID(D7,6,2))&lt;8,115,135),IF(VALUE(MID(D7,6,2))&lt;10,146,165))),E22))</f>
        <v>135</v>
      </c>
      <c r="E22" s="142">
        <v>135</v>
      </c>
      <c r="F22" s="1"/>
      <c r="G22" s="8"/>
      <c r="H22" s="8"/>
      <c r="I22" s="102"/>
    </row>
    <row r="23" spans="2:23" ht="12" customHeight="1">
      <c r="F23" s="1"/>
      <c r="G23" s="8"/>
      <c r="H23" s="8"/>
      <c r="I23" s="102"/>
    </row>
    <row r="24" spans="2:23" ht="12" customHeight="1">
      <c r="B24" s="15" t="str">
        <f>"■"&amp;MID(B2,2,17)</f>
        <v>■短期仮設：KJS残置アンカー数量表</v>
      </c>
      <c r="C24" s="3"/>
      <c r="D24" s="1"/>
      <c r="E24" s="1"/>
      <c r="F24" s="1"/>
      <c r="G24" s="8"/>
      <c r="H24" s="8"/>
      <c r="I24" s="102"/>
    </row>
    <row r="25" spans="2:23" ht="12" customHeight="1">
      <c r="B25" s="2" t="s">
        <v>17</v>
      </c>
      <c r="C25" s="43"/>
      <c r="D25" s="134"/>
      <c r="E25" s="61" t="s">
        <v>78</v>
      </c>
      <c r="F25" s="135"/>
      <c r="G25" s="16"/>
      <c r="H25" s="61" t="s">
        <v>42</v>
      </c>
      <c r="I25" s="97"/>
      <c r="J25" s="2" t="s">
        <v>21</v>
      </c>
      <c r="K25" s="49" t="s">
        <v>29</v>
      </c>
      <c r="L25" s="2" t="s">
        <v>28</v>
      </c>
    </row>
    <row r="26" spans="2:23" ht="12" customHeight="1">
      <c r="B26" s="4" t="str">
        <f>IF(MID(D7,1,2)="除去","アンボンド","")&amp;"PCストランド"</f>
        <v>PCストランド</v>
      </c>
      <c r="C26" s="39" t="str">
        <f>IF(D7="　","",D7&amp;"("&amp;MID(D7,6,2)&amp;IF(MID(D7,4,1)="5","φ12.7","φ15.2")&amp;")")</f>
        <v>残置J5-5(5φ12.7)</v>
      </c>
      <c r="D26" s="32"/>
      <c r="E26" s="32"/>
      <c r="F26" s="33"/>
      <c r="G26" s="143" t="str">
        <f>"W="&amp;IF(MID(D7,1,2)="除去","(ﾃﾝﾄﾞﾝ長+ｱﾝｶｰ体長×(1/鋼線本数-0.5))","(テンドン長+先端長0.2m)")&amp;"×鋼線本数×"&amp;IF(MID(D7,4,1)="5","0.774","1.101")&amp;"kg/m"</f>
        <v>W=(テンドン長+先端長0.2m)×鋼線本数×0.774kg/m</v>
      </c>
      <c r="H26" s="62"/>
      <c r="I26" s="105"/>
      <c r="J26" s="5" t="s">
        <v>11</v>
      </c>
      <c r="K26" s="29">
        <f>IF(D7="　","",MROUND(IF(MID(D7,1,2)="除去",D17+D14*(1/MID(D7,6,2)-0.5),D17+D18)*MID(D7,6,2)*IF(MID(D7,4,1)="5","0.774","1.101"),0.01))</f>
        <v>65.02</v>
      </c>
      <c r="L26" s="29">
        <f>IFERROR(D12*K26,"")</f>
        <v>1560.48</v>
      </c>
      <c r="M26" s="13"/>
    </row>
    <row r="27" spans="2:23" ht="12" customHeight="1">
      <c r="B27" s="6" t="s">
        <v>20</v>
      </c>
      <c r="C27" s="34"/>
      <c r="D27" s="35"/>
      <c r="E27" s="35"/>
      <c r="F27" s="36"/>
      <c r="G27" s="56" t="str">
        <f>"L=テンドン長"&amp;IF(MID(D7,1,2)="除去","+アンカー体長×(1/鋼線本数-0.5))","")</f>
        <v>L=テンドン長</v>
      </c>
      <c r="H27" s="63"/>
      <c r="I27" s="106"/>
      <c r="J27" s="7" t="s">
        <v>12</v>
      </c>
      <c r="K27" s="30">
        <f>IF(D7="　","",MROUND(D17+IF(MID(D7,1,2)="除去",D14*(1/MID(D7,6,2)-0.5),0),0.1))</f>
        <v>16.600000000000001</v>
      </c>
      <c r="L27" s="30">
        <f>IFERROR(D12*K27,"")</f>
        <v>398.40000000000003</v>
      </c>
    </row>
    <row r="28" spans="2:23" ht="12" customHeight="1">
      <c r="B28" s="6" t="str">
        <f>IF(MID(D7,1,2)="除去","耐荷体","注入ホース")</f>
        <v>注入ホース</v>
      </c>
      <c r="C28" s="34" t="str" cm="1">
        <f t="array" ref="C28">IF(D7="　","",IF(MID(D7,1,2)="除去",IF(MID(D7,1,2)="除去",MID(D7,3,2)&amp;"用Bタイプ、FCD450相当"&amp;_xlfn.IFS(MID(D8,3,1)="Ⅰ","",MID(D8,3,1)="Ⅱ","、亜鉛めっき処理",MID(D8,3,1)="Ⅲ","、ｱﾙﾐﾅｲｽﾞ処理"),""),"1/2″"))</f>
        <v>1/2″</v>
      </c>
      <c r="D28" s="35"/>
      <c r="E28" s="35"/>
      <c r="F28" s="36"/>
      <c r="G28" s="127" t="str">
        <f>IF(MID(D7,1,2)="除去","N="&amp;0.5*MID(D7,6,2),"L=テンドン長")</f>
        <v>L=テンドン長</v>
      </c>
      <c r="H28" s="63"/>
      <c r="I28" s="106"/>
      <c r="J28" s="7" t="str">
        <f>IF(MID(D7,1,2)="除去","個","m")</f>
        <v>m</v>
      </c>
      <c r="K28" s="130">
        <f>IF(D7="　","",IF(MID(D7,1,2)="除去",MID(G28,3,2),MROUND(D17,0.1)))</f>
        <v>16.600000000000001</v>
      </c>
      <c r="L28" s="30">
        <f>IFERROR(D12*K28,"")</f>
        <v>398.40000000000003</v>
      </c>
      <c r="W28" s="124"/>
    </row>
    <row r="29" spans="2:23" ht="12" customHeight="1">
      <c r="B29" s="109" t="str">
        <f>IF(MID(D7,1,2)="除去","結束テープ","パイロットキャップ")</f>
        <v>パイロットキャップ</v>
      </c>
      <c r="C29" s="34" t="str" cm="1">
        <f t="array" ref="C29">IF(D7="　","",IF(MID(D7,1,2)="除去","","Ｊ"&amp;IF(MID(D7,4,1)="5",_xlfn.IFS(VALUE(MID(D7,6,2))&lt;5,"5-4",VALUE(MID(D7,6,2))&lt;8,"5-7",VALUE(MID(D7,6,2))&lt;10,"5-9",VALUE(MID(D7,6,2))&gt;9,"5-12"),_xlfn.IFS(VALUE(MID(D7,6,2))&lt;10,"6-9",VALUE(MID(D7,6,2))&lt;13,"6-12",VALUE(MID(D7,6,2))&gt;12,"6-19"))&amp;"用、"&amp;IF(AND(MID(D7,4,1)="6",VALUE(MID(D7,6,2))&gt;9),"AC2A","ポリプロピレン")))</f>
        <v>Ｊ5-7用、ポリプロピレン</v>
      </c>
      <c r="D29" s="35"/>
      <c r="E29" s="35"/>
      <c r="F29" s="36"/>
      <c r="G29" s="52" t="str">
        <f>IF(MID(D7,1,2)="除去","L=(自由長+頭部自由長+緊張余長)÷2.0mピッチ","N=1")</f>
        <v>N=1</v>
      </c>
      <c r="H29" s="110"/>
      <c r="I29" s="53"/>
      <c r="J29" s="7" t="str">
        <f>IF(MID(D7,1,2)="除去","m","個")</f>
        <v>個</v>
      </c>
      <c r="K29" s="130" t="str">
        <f>IF(D7="　","",IF(MID(D7,1,2)="除去",MROUND(SUM(D13,D15:D16)/2,0.01),MID(G29,3,2)))</f>
        <v>1</v>
      </c>
      <c r="L29" s="30">
        <f>IFERROR(D12*K29,"")</f>
        <v>24</v>
      </c>
    </row>
    <row r="30" spans="2:23" ht="12" customHeight="1">
      <c r="B30" s="109" t="str">
        <f>IF(MID(D7,1,2)="除去",IF(D8="防食Ⅰ","アンカープレート","溝付アンカープレート"),"スペーサ")</f>
        <v>スペーサ</v>
      </c>
      <c r="C30" s="96" t="str" cm="1">
        <f t="array" ref="C30">IF(D7="　","",_xlfn.SINGLE(IF(MID(D7,1,2)="除去","J"&amp;_xlfn.SINGLE(IF(MID(D7,4,1)="5",_xlfn.IFS(VALUE(MID(D7,6,2))&lt;3,"5-2",VALUE(MID(D7,6,2))&lt;5,"5-4",VALUE(MID(D7,6,2))&lt;7,"5-7",VALUE(MID(D7,6,2))&lt;10,"5-9",VALUE(MID(D7,6,2))&gt;9,"5-12"),_xlfn.IFS(VALUE(MID(D7,6,2))&lt;13,"6-12")))&amp;"用、"&amp;IF(D8="防食Ⅰ","SS400相当","SS400・STKM13A相当、防食：")&amp;_xlfn.IFS(D8="防食Ⅰ","無処理",D8="防食Ⅱ","亜鉛めっき処理",D8="防食Ⅲ","ｱﾙﾐﾅｲｽﾞ処理"),"J"&amp;IF(MID(D7,4,1)="5",_xlfn.IFS(VALUE(MID(D7,6,2))&lt;8,"5-7",VALUE(MID(D7,6,2))&gt;7,"5-12"),_xlfn.IFS(VALUE(MID(D7,6,2))&lt;8,"6-7",VALUE(MID(D7,6,2))&lt;13,"6-12",VALUE(MID(D7,6,2))&gt;12,"6-19"))&amp;"用、"&amp;IF(AND(MID(D7,4,1)="6",VALUE(MID(D7,6,2))&gt;9),"AC2B","ポリプロピレン"))))</f>
        <v>J5-7用、ポリプロピレン</v>
      </c>
      <c r="D30" s="35"/>
      <c r="E30" s="35"/>
      <c r="F30" s="36"/>
      <c r="G30" s="127" t="str">
        <f>IF(MID(D7,1,2)="除去","N=1","N=アンカー体÷1.0mピッチ")</f>
        <v>N=アンカー体÷1.0mピッチ</v>
      </c>
      <c r="H30" s="63"/>
      <c r="I30" s="106"/>
      <c r="J30" s="7" t="str">
        <f>IF(MID(D7,1,2)="除去","枚","m")</f>
        <v>m</v>
      </c>
      <c r="K30" s="130">
        <f>IF(D7="　","",IF(D7="　","",IF(MID(D7,1,2)="除去",MID(G30,3,2),MROUND(D14/1,1))))</f>
        <v>7</v>
      </c>
      <c r="L30" s="30">
        <f>IFERROR(D12*K30,"")</f>
        <v>168</v>
      </c>
      <c r="T30" s="13"/>
    </row>
    <row r="31" spans="2:23" ht="12" customHeight="1">
      <c r="B31" s="109" t="str">
        <f>IF(MID(D7,1,2)="除去","アンカーヘッド","結束バンド")</f>
        <v>結束バンド</v>
      </c>
      <c r="C31" s="34" t="str">
        <f>IF(D7="　","",IF(MID(D7,1,2)="除去","J"&amp;IF(MID(D7,4,1)="5",_xlfn.IFS(VALUE(MID(D7,6,2))&lt;3,"5-2",VALUE(MID(D7,6,2))&lt;4,"5-3",VALUE(MID(D7,6,2))&lt;5,"5-4",VALUE(MID(D7,6,2))&lt;8,"5-7",VALUE(MID(D7,6,2))&lt;10,"5-9",VALUE(MID(D7,6,2))&gt;9,"5-12"),_xlfn.IFS(VALUE(MID(D7,6,2))&lt;8,"6-7",VALUE(MID(D7,6,2))&gt;7,"6-12"))&amp;"用、S45C相当","AB350、66ナイロン"))</f>
        <v>AB350、66ナイロン</v>
      </c>
      <c r="D31" s="35"/>
      <c r="E31" s="35"/>
      <c r="F31" s="36"/>
      <c r="G31" s="127" t="str">
        <f>IF(MID(D7,1,2)="除去","N=1","N=スペーサ数×2")</f>
        <v>N=スペーサ数×2</v>
      </c>
      <c r="H31" s="63"/>
      <c r="I31" s="106"/>
      <c r="J31" s="7" t="str">
        <f>IF(MID(D7,1,2)="除去","個","本")</f>
        <v>本</v>
      </c>
      <c r="K31" s="130">
        <f>IF(D7="　","",IF(MID(D7,1,2)="除去",MID(G31,3,2),2*K30))</f>
        <v>14</v>
      </c>
      <c r="L31" s="30">
        <f>IFERROR(D12*K31,"")</f>
        <v>336</v>
      </c>
    </row>
    <row r="32" spans="2:23" ht="12" customHeight="1">
      <c r="B32" s="6" t="str">
        <f>IF(MID(D7,1,2)="除去","くさび","ポリホース")</f>
        <v>ポリホース</v>
      </c>
      <c r="C32" s="34" t="str">
        <f>IF(D7="　","",IF(MID(D7,1,2)="除去",MID(D7,3,5)&amp;"用、"&amp;IF(MID(D7,4,1)="5","φ12.7","φ15.2")&amp;"、SCM415相当","1-1/2″"))</f>
        <v>1-1/2″</v>
      </c>
      <c r="D32" s="35"/>
      <c r="E32" s="35"/>
      <c r="F32" s="36"/>
      <c r="G32" s="127" t="str">
        <f>IF(MID(D7,1,2)="除去","N="&amp;MID(D7,6,2),"L=自由長-0.5m")</f>
        <v>L=自由長-0.5m</v>
      </c>
      <c r="H32" s="63"/>
      <c r="I32" s="106"/>
      <c r="J32" s="7" t="str">
        <f>IF(MID(D7,1,2)="除去","組","m")</f>
        <v>m</v>
      </c>
      <c r="K32" s="130">
        <f>IF(D7="　","",IF(MID(D7,1,2)="除去",MID(G32,3,2),D13+D15-0.5))</f>
        <v>8.6</v>
      </c>
      <c r="L32" s="30">
        <f>IFERROR(D12*K32,"")</f>
        <v>206.39999999999998</v>
      </c>
    </row>
    <row r="33" spans="2:14" ht="12" customHeight="1">
      <c r="B33" s="6" t="str">
        <f>IF(MID(D7,1,2)="除去",IF(D8="防食Ⅰ","","ヘッドキャップ"),"アンカープレート")</f>
        <v>アンカープレート</v>
      </c>
      <c r="C33" s="96" t="str" cm="1">
        <f t="array" ref="C33">IF(D7="　","",IF(MID(D7,1,2)="除去",IF(D8="防食Ⅰ","","J"&amp;_xlfn.SINGLE(IF(MID(D7,4,1)="5",_xlfn.IFS(VALUE(MID(D7,6,2))&lt;5,"5-4",VALUE(MID(D7,6,2))&lt;8,"5-7",VALUE(MID(D7,6,2))&gt;7,"5-12"),"未設定"))&amp;"RN用、AC4C相当"&amp;IF(D8="防食Ⅱ","","、防食：タケコート処理")),"J"&amp;_xlfn.SINGLE(IF(MID(D7,4,1)="5",_xlfn.IFS(VALUE(MID(D7,6,2))&lt;3,"5-2",VALUE(MID(D7,6,2))&lt;5,"5-4",VALUE(MID(D7,6,2))&lt;7,"5-7",VALUE(MID(D7,6,2))&lt;10,"5-9",VALUE(MID(D7,6,2))&gt;9,"5-12"),_xlfn.IFS(VALUE(MID(D7,6,2))&lt;13,"6-12")))&amp;"用、"&amp;IF(D8="防食Ⅰ","SS400相当","SS400・STKM13A相当、防食：")&amp;_xlfn.IFS(D8="防食Ⅰ","、防食：無処理",D8="防食Ⅱ","、防食：亜鉛めっき",D8="防食Ⅲ","、防食：ｱﾙﾐﾅｲｽﾞ")))</f>
        <v>J5-7用、SS400相当、防食：無処理</v>
      </c>
      <c r="D33" s="44"/>
      <c r="E33" s="44"/>
      <c r="F33" s="45"/>
      <c r="G33" s="52" t="str">
        <f>IF(MID(D7,1,2)="除去","N="&amp;IF(D8="防食Ⅰ","",1),"N=1")</f>
        <v>N=1</v>
      </c>
      <c r="H33" s="64"/>
      <c r="I33" s="53"/>
      <c r="J33" s="7" t="str">
        <f>IF(MID(D7,1,2)="除去",IF(D8="防食Ⅰ","","個"),"枚")</f>
        <v>枚</v>
      </c>
      <c r="K33" s="130" t="str">
        <f>IF(D7="　","",IF(MID(D7,1,2)="除去",MID(G33,3,2),MID(G33,3,2)))</f>
        <v>1</v>
      </c>
      <c r="L33" s="30">
        <f>IFERROR(D12*K33,"")</f>
        <v>24</v>
      </c>
    </row>
    <row r="34" spans="2:14" ht="12" customHeight="1">
      <c r="B34" s="6" t="str">
        <f>IF(MID(D7,1,2)="除去",IF(D8="防食Ⅰ","","頭部防錆油"),"アンカーヘッド")</f>
        <v>アンカーヘッド</v>
      </c>
      <c r="C34" s="34" t="str">
        <f>IF(D7="　","",IF(MID(D7,1,2)="除去",IF(D8="防食Ⅰ","","PCコートC"),"J"&amp;IF(MID(D7,4,1)="5",_xlfn.IFS(VALUE(MID(D7,6,2))&lt;3,"5-2",VALUE(MID(D7,6,2))&lt;4,"5-3",VALUE(MID(D7,6,2))&lt;5,"5-4",VALUE(MID(D7,6,2))&lt;8,"5-7",VALUE(MID(D7,6,2))&lt;10,"5-9",VALUE(MID(D7,6,2))&gt;9,"5-12"),_xlfn.IFS(VALUE(MID(D7,6,2))&lt;8,"6-7",VALUE(MID(D7,6,2))&gt;7,"6-12"))&amp;"用、S45C相当"))</f>
        <v>J5-7用、S45C相当</v>
      </c>
      <c r="D34" s="35"/>
      <c r="E34" s="35"/>
      <c r="F34" s="36"/>
      <c r="G34" s="52" t="str">
        <f>IF(MID(D7,1,2)="除去","W="&amp;IF(D8="防食Ⅰ","",IF(MID(D7,4,1)="5",_xlfn.IFS(VALUE(MID(D7,6,2))&lt;4,1.8,VALUE(MID(D7,6,2))&lt;5,2,VALUE(MID(D7,6,2))&lt;8,2.7,VALUE(MID(D7,6,2))&gt;7,5),_xlfn.IFS(VALUE(MID(D7,6,2))=1,1.8,VALUE(MID(D7,6,2))&lt;3,2,VALUE(MID(D7,6,2))&lt;5,2.7,VALUE(MID(D7,6,2))&lt;8,5,VALUE(MID(D7,6,2))&gt;7,12.3))),"N=1")</f>
        <v>N=1</v>
      </c>
      <c r="H34" s="64"/>
      <c r="I34" s="53"/>
      <c r="J34" s="7" t="str">
        <f>IF(MID(D7,1,2)="除去",IF(D8="防食Ⅰ","","kg"),"個")</f>
        <v>個</v>
      </c>
      <c r="K34" s="130" t="str">
        <f>IF(D7="　","",IF(MID(D7,1,2)="除去",MID(G34,3,4),MID(G34,3,2)))</f>
        <v>1</v>
      </c>
      <c r="L34" s="30">
        <f>IFERROR(D12*K34,"")</f>
        <v>24</v>
      </c>
    </row>
    <row r="35" spans="2:14" ht="12" customHeight="1">
      <c r="B35" s="6" t="str">
        <f>IF(MID(D7,1,2)="除去",IF(D8="防食Ⅰ","","止水具スペーサ"),"くさび")</f>
        <v>くさび</v>
      </c>
      <c r="C35" s="34" t="str">
        <f>IF(D7="　","",IF(MID(D7,1,2)="除去",IF(D8="防食Ⅰ","",MID(D7,3,5)&amp;"用、NBR45相当"),MID(D7,3,5)&amp;"用、"&amp;IF(MID(D7,4,1)="5","φ12.7","φ15.2")&amp;"、SCM415相当"))</f>
        <v>J5-5用、φ12.7、SCM415相当</v>
      </c>
      <c r="D35" s="35"/>
      <c r="E35" s="35"/>
      <c r="F35" s="36"/>
      <c r="G35" s="52" t="str">
        <f>IF(D7="　","",IF(MID(D7,1,2)="除去","N="&amp;IF(D8="防食Ⅰ","",1),"N="&amp;MID(D7,6,2)))</f>
        <v>N=5</v>
      </c>
      <c r="H35" s="64"/>
      <c r="I35" s="53"/>
      <c r="J35" s="7" t="str">
        <f>IF(MID(D7,1,2)="除去",IF(D8="防食Ⅰ","","個"),"組")</f>
        <v>組</v>
      </c>
      <c r="K35" s="130" t="str">
        <f>IF(D7="　","",IF(MID(D7,1,2)="除去",MID(G35,3,2),MID(G35,3,2)))</f>
        <v>5</v>
      </c>
      <c r="L35" s="30">
        <f>IFERROR(D12*K35,"")</f>
        <v>120</v>
      </c>
    </row>
    <row r="36" spans="2:14" ht="12" customHeight="1">
      <c r="B36" s="6" t="str">
        <f>IF(MID(D7,1,2)="除去",IF(D8="防食Ⅰ","","配列スペーサ"),"サンタックシーラー")</f>
        <v>サンタックシーラー</v>
      </c>
      <c r="C36" s="34" t="str">
        <f>IF(D7="　","",IF(MID(D7,1,2)="除去",IF(D8="防食Ⅰ","","J"&amp;IF(MID(D7,4,1)="5",_xlfn.IFS(VALUE(MID(D7,6,2))=3,"5-3",VALUE(MID(D7,6,2))&lt;5,"5-4",VALUE(MID(D7,6,2))&lt;8,"5-7",VALUE(MID(D7,6,2))&gt;7,"5-12"),_xlfn.IFS(VALUE(MID(D7,6,2))=3,"6-3",VALUE(MID(D7,6,2))&lt;5,"6-4",VALUE(MID(D7,6,2))&lt;8,"6-7",VALUE(MID(D7,6,2))&gt;7,"6-12"))&amp;"用、ポリエチレン"),""))</f>
        <v/>
      </c>
      <c r="D36" s="35"/>
      <c r="E36" s="35"/>
      <c r="F36" s="36"/>
      <c r="G36" s="52" t="str" cm="1">
        <f t="array" ref="G36">IF(D7="　","",IF(MID(D7,1,2)="除去","N="&amp;IF(D8="防食Ⅰ","",1),"N="&amp;IF(MID(D7,4,1)="5",_xlfn.IFS(VALUE(MID(D7,6,2))&lt;5,0.03,VALUE(MID(D7,6,2))&lt;8,0.04,VALUE(MID(D7,6,2))&lt;13,0.06),_xlfn.IFS(VALUE(MID(D7,6,2))&lt;4,0.03,VALUE(MID(D7,6,2))&lt;6,0.04,VALUE(MID(D7,6,2))&lt;9,0.06,VALUE(MID(D7,6,2))&gt;8,0.09))&amp;"巻/本"))</f>
        <v>N=0.04巻/本</v>
      </c>
      <c r="H36" s="64"/>
      <c r="I36" s="53"/>
      <c r="J36" s="7" t="str">
        <f>IF(MID(D7,1,2)="除去",IF(D8="防食Ⅰ","","個"),"巻")</f>
        <v>巻</v>
      </c>
      <c r="K36" s="130" t="str">
        <f>IF(D7="　","",IF(MID(D7,1,2)="除去",MID(G36,3,2),MID(G36,3,4)))</f>
        <v>0.04</v>
      </c>
      <c r="L36" s="30">
        <f>IFERROR(D12*K36,"")</f>
        <v>0.96</v>
      </c>
    </row>
    <row r="37" spans="2:14" ht="12" customHeight="1">
      <c r="B37" s="6" t="str">
        <f>IF(MID(D7,1,2)="除去","","結束テープ")</f>
        <v>結束テープ</v>
      </c>
      <c r="C37" s="34" t="str">
        <f>IF(D7="　","",IF(MID(D7,1,2)="除去","",""))</f>
        <v/>
      </c>
      <c r="D37" s="35"/>
      <c r="E37" s="35"/>
      <c r="F37" s="36"/>
      <c r="G37" s="52" t="str" cm="1">
        <f t="array" ref="G37">IF(D7="　","",IF(MID(D7,1,2)="除去","","L=(自由長+緊張余長)×係数"&amp;IF(MID(D7,4,1)="5",_xlfn.IFS(VALUE(MID(D7,6,2))&lt;5,"1.0",VALUE(MID(D7,6,2))&lt;8,"1.1",VALUE(MID(D7,6,2))&lt;13,"1.2"),_xlfn.IFS(VALUE(MID(D7,6,2))&lt;4,"1.0",VALUE(MID(D7,6,2))&lt;6,"1.1",VALUE(MID(D7,6,2))&lt;9,"1.2",VALUE(MID(D7,6,2))&gt;8,"1.4"))))</f>
        <v>L=(自由長+緊張余長)×係数1.1</v>
      </c>
      <c r="H37" s="64"/>
      <c r="I37" s="53"/>
      <c r="J37" s="7" t="str">
        <f>IF(MID(D7,1,2)="除去","","m")</f>
        <v>m</v>
      </c>
      <c r="K37" s="6">
        <f>IF(D7="　","",IF(MID(D7,1,2)="除去","",MROUND(SUM(D13,D15:D16)*RIGHT(G37,3),0.1)))</f>
        <v>11.100000000000001</v>
      </c>
      <c r="L37" s="30">
        <f>IFERROR(D12*K37,"")</f>
        <v>266.40000000000003</v>
      </c>
    </row>
    <row r="38" spans="2:14" ht="12" customHeight="1">
      <c r="B38" s="126" t="str">
        <f>IF(MID(D7,1,2)="除去","","防錆材")</f>
        <v>防錆材</v>
      </c>
      <c r="C38" s="126" t="str">
        <f>IF(D7="　","",IF(MID(D7,1,2)="除去","","自由長部塗布"))</f>
        <v>自由長部塗布</v>
      </c>
      <c r="D38" s="35"/>
      <c r="E38" s="35"/>
      <c r="F38" s="35"/>
      <c r="G38" s="128" t="str">
        <f>IF(MID(D7,1,2)="除去","","W=(自由長-0.5m)×鋼線本数×0.0646kg")</f>
        <v>W=(自由長-0.5m)×鋼線本数×0.0646kg</v>
      </c>
      <c r="H38" s="35"/>
      <c r="I38" s="125"/>
      <c r="J38" s="48" t="str">
        <f>IF(MID(D7,1,2)="除去","","kg")</f>
        <v>kg</v>
      </c>
      <c r="K38" s="6">
        <f>IF(D7="　","",IF(MID(D7,1,2)="除去","",MROUND((D13+D15-0.5)*MID(D7,6,2)*0.0646,0.1)))</f>
        <v>2.8000000000000003</v>
      </c>
      <c r="L38" s="30">
        <f>IFERROR(D12*K38,"")</f>
        <v>67.2</v>
      </c>
    </row>
    <row r="39" spans="2:14" ht="12" customHeight="1">
      <c r="B39" s="6" t="str">
        <f>IF(D9="なし","",B9)</f>
        <v>土留め台座</v>
      </c>
      <c r="C39" s="34" t="str" cm="1">
        <f t="array" ref="C39">IF(D7="　","",IF(D9="なし","",_xlfn.IFS(MID(B9,1,3)="のり面",_xlfn.IFS(VALUE(MID(D7,6,2))&lt;5,"ST170",VALUE(MID(D7,6,2))&lt;8,"ST200",VALUE(MID(D7,6,2))&lt;13,"ST200")&amp;"、FCD450相当",OR(MID(B9,1,3)="構造物",MID(B9,1,3)="土留め"),D7&amp;"用"&amp;IF(OR(MID(B9,1,3)="構造物",D10="　"),"",D10&amp;"/"&amp;E10))&amp;"、防食："&amp;_xlfn.IFS(D8="防食Ⅰ","無処理",D8="防食Ⅱ","亜鉛めっき処理",D8="防食Ⅲ","ｱﾙﾐﾅｲｽﾞ処理")))</f>
        <v>残置J5-5用DB660/H350、防食：無処理</v>
      </c>
      <c r="D39" s="35"/>
      <c r="E39" s="35"/>
      <c r="F39" s="36"/>
      <c r="G39" s="52" t="str">
        <f>IF(D9="なし","","N=1")</f>
        <v>N=1</v>
      </c>
      <c r="H39" s="64"/>
      <c r="I39" s="53"/>
      <c r="J39" s="7" t="str">
        <f>IF(D9="なし","","台")</f>
        <v>台</v>
      </c>
      <c r="K39" s="130" t="str">
        <f>IF(D7="　","",MID(G39,3,2))</f>
        <v>1</v>
      </c>
      <c r="L39" s="30">
        <f>IF(K39="","",D12*K39)</f>
        <v>24</v>
      </c>
    </row>
    <row r="40" spans="2:14" ht="12" customHeight="1">
      <c r="B40" s="6" t="str">
        <f>IF(D11="なし","","フリーパッカー注入ホース")</f>
        <v/>
      </c>
      <c r="C40" s="34" t="str">
        <f>IF(D7="　","",IF(B40="","","16/20"))</f>
        <v/>
      </c>
      <c r="D40" s="35"/>
      <c r="E40" s="35"/>
      <c r="F40" s="36"/>
      <c r="G40" s="127" t="str">
        <f>IF(B40="","","L=自由長+頭部自由長+緊張余長")</f>
        <v/>
      </c>
      <c r="H40" s="64"/>
      <c r="I40" s="53"/>
      <c r="J40" s="7" t="str">
        <f>IF(D11="なし","","m")</f>
        <v/>
      </c>
      <c r="K40" s="6" t="str">
        <f>IF(D7="　","",IF(B40="","",MROUND(SUM(D13,D15:D16),0.1)))</f>
        <v/>
      </c>
      <c r="L40" s="30" t="str">
        <f>IF(K40="","",D12*K40)</f>
        <v/>
      </c>
      <c r="N40" s="13"/>
    </row>
    <row r="41" spans="2:14" ht="12" customHeight="1">
      <c r="B41" s="6" t="str">
        <f>IF(D11="なし","","フリーパッカー")</f>
        <v/>
      </c>
      <c r="C41" s="52" t="str">
        <f>IF(D7="　","",_xlfn.SINGLE(IF(B40="","",_xlfn.IFS(D19=90,"PA-170",D19=115,"PA-200",D19&lt;147,"PA-240",D19&gt;147,"PA-350"))))</f>
        <v/>
      </c>
      <c r="D41" s="35"/>
      <c r="E41" s="35"/>
      <c r="F41" s="36"/>
      <c r="G41" s="129" t="str">
        <f>IF(B41="","","L=自由長+0.5m")</f>
        <v/>
      </c>
      <c r="H41" s="80"/>
      <c r="I41" s="81"/>
      <c r="J41" s="7" t="str">
        <f>IF(D11="なし","","m")</f>
        <v/>
      </c>
      <c r="K41" s="30" t="str">
        <f>IF(D7="　","",IF(B41="","",MROUND(D13+0.5,0.1)))</f>
        <v/>
      </c>
      <c r="L41" s="30" t="str">
        <f>IF(K41="","",D12*K41)</f>
        <v/>
      </c>
    </row>
    <row r="42" spans="2:14" ht="12" customHeight="1">
      <c r="B42" s="6" t="str">
        <f>IF(D11="なし","","パッカー取付加工")</f>
        <v/>
      </c>
      <c r="C42" s="34"/>
      <c r="D42" s="35"/>
      <c r="E42" s="35"/>
      <c r="F42" s="36"/>
      <c r="G42" s="52" t="str">
        <f>IF(B42="","","N=1")</f>
        <v/>
      </c>
      <c r="H42" s="64"/>
      <c r="I42" s="53"/>
      <c r="J42" s="7" t="str">
        <f>IF(D11="なし","","式")</f>
        <v/>
      </c>
      <c r="K42" s="130" t="str">
        <f>IF(D7="　","",MID(G42,3,2))</f>
        <v/>
      </c>
      <c r="L42" s="30" t="str">
        <f>IF(K42="","",D12*K42)</f>
        <v/>
      </c>
    </row>
    <row r="43" spans="2:14" ht="12" customHeight="1">
      <c r="B43" s="9"/>
      <c r="C43" s="52"/>
      <c r="D43" s="35"/>
      <c r="E43" s="35"/>
      <c r="F43" s="36"/>
      <c r="G43" s="57"/>
      <c r="H43" s="65"/>
      <c r="I43" s="107"/>
      <c r="J43" s="10"/>
      <c r="K43" s="30"/>
      <c r="L43" s="30"/>
    </row>
    <row r="44" spans="2:14" ht="12" customHeight="1">
      <c r="B44" s="11"/>
      <c r="C44" s="42"/>
      <c r="D44" s="37"/>
      <c r="E44" s="37"/>
      <c r="F44" s="38"/>
      <c r="G44" s="58"/>
      <c r="H44" s="66"/>
      <c r="I44" s="54"/>
      <c r="J44" s="12"/>
      <c r="K44" s="11"/>
      <c r="L44" s="11"/>
    </row>
    <row r="45" spans="2:14" ht="12" customHeight="1">
      <c r="B45" s="14" t="s">
        <v>30</v>
      </c>
      <c r="C45" s="43" t="s">
        <v>31</v>
      </c>
      <c r="D45" s="40"/>
      <c r="E45" s="40"/>
      <c r="F45" s="41"/>
      <c r="G45" s="59" t="s">
        <v>56</v>
      </c>
      <c r="H45" s="67"/>
      <c r="I45" s="108"/>
      <c r="J45" s="2" t="s">
        <v>55</v>
      </c>
      <c r="K45" s="31">
        <f>IFERROR(MROUND(0.25*PI()*(0.001*D22)^2*(D13+D14+D19+D21)*(1+2.2),0.01),"")</f>
        <v>0.68</v>
      </c>
      <c r="L45" s="31">
        <f>IFERROR(D12*K45,"")</f>
        <v>16.32</v>
      </c>
    </row>
    <row r="48" spans="2:14" ht="12" customHeight="1">
      <c r="B48" s="251" t="s">
        <v>80</v>
      </c>
      <c r="C48" s="251"/>
      <c r="D48" s="251"/>
      <c r="E48" s="251"/>
    </row>
    <row r="49" spans="2:12" ht="12" customHeight="1">
      <c r="B49" s="15" t="s">
        <v>94</v>
      </c>
      <c r="C49" s="15"/>
      <c r="D49" s="1"/>
      <c r="E49" s="1"/>
      <c r="F49" s="1"/>
    </row>
    <row r="50" spans="2:12" ht="12" customHeight="1">
      <c r="B50" s="111" t="s">
        <v>65</v>
      </c>
      <c r="C50" s="3"/>
      <c r="D50" t="str">
        <f>IF(AND(MID(D53,1,2)="残置",MID(D54,3,1)&lt;&gt;"Ⅰ"),"【注意】 残置アンカーは、防食Ⅰ限定です。EHDアンカーに変更してください。","")</f>
        <v/>
      </c>
      <c r="E50" s="1"/>
      <c r="F50" s="1"/>
      <c r="G50" s="8"/>
      <c r="H50" s="8"/>
      <c r="I50" s="102"/>
      <c r="J50" s="28"/>
    </row>
    <row r="51" spans="2:12" ht="12" customHeight="1">
      <c r="B51" s="15" t="s">
        <v>40</v>
      </c>
      <c r="C51" s="3"/>
      <c r="D51" s="1"/>
      <c r="E51" s="1"/>
      <c r="F51" s="1"/>
      <c r="G51" s="15" t="s">
        <v>54</v>
      </c>
      <c r="H51" s="15"/>
      <c r="I51" s="102"/>
      <c r="J51" s="28"/>
    </row>
    <row r="52" spans="2:12" ht="12" customHeight="1">
      <c r="B52" s="2" t="s">
        <v>53</v>
      </c>
      <c r="C52" s="2" t="s">
        <v>21</v>
      </c>
      <c r="D52" s="2" t="s">
        <v>22</v>
      </c>
      <c r="E52" s="2" t="s">
        <v>84</v>
      </c>
      <c r="F52" s="17"/>
      <c r="G52" s="2" t="s">
        <v>41</v>
      </c>
      <c r="H52" s="97" t="s">
        <v>59</v>
      </c>
      <c r="I52" s="49" t="s">
        <v>44</v>
      </c>
      <c r="J52" s="2" t="s">
        <v>21</v>
      </c>
      <c r="K52" s="49" t="s">
        <v>29</v>
      </c>
      <c r="L52" s="2" t="s">
        <v>28</v>
      </c>
    </row>
    <row r="53" spans="2:12" ht="12" customHeight="1">
      <c r="B53" s="51" t="s">
        <v>37</v>
      </c>
      <c r="C53" s="50" t="s">
        <v>38</v>
      </c>
      <c r="D53" s="70" t="s">
        <v>83</v>
      </c>
      <c r="E53" s="137" t="s">
        <v>71</v>
      </c>
      <c r="F53" s="17"/>
      <c r="G53" s="86" t="str">
        <f>IF(D65=0,"",G54)</f>
        <v/>
      </c>
      <c r="H53" s="87" t="str">
        <f>IF(D65=0,"",H55&amp;" (背面管部）")</f>
        <v/>
      </c>
      <c r="I53" s="88" t="str">
        <f>IF(D65=0,"",D66)</f>
        <v/>
      </c>
      <c r="J53" s="89" t="str">
        <f>IF(D65=0,"","m")</f>
        <v/>
      </c>
      <c r="K53" s="90" t="str">
        <f>IF(D65=0,"",D65)</f>
        <v/>
      </c>
      <c r="L53" s="29" t="str">
        <f>IF(D65=0,"",D58*K53)</f>
        <v/>
      </c>
    </row>
    <row r="54" spans="2:12" ht="12" customHeight="1">
      <c r="B54" s="52" t="s">
        <v>39</v>
      </c>
      <c r="C54" s="91" t="s">
        <v>38</v>
      </c>
      <c r="D54" s="71" t="s">
        <v>82</v>
      </c>
      <c r="E54" s="7"/>
      <c r="F54" s="17"/>
      <c r="G54" s="68" t="s">
        <v>43</v>
      </c>
      <c r="H54" s="68" t="s">
        <v>72</v>
      </c>
      <c r="I54" s="88" t="str" cm="1">
        <f t="array" ref="I54">_xlfn.IFS(AND(G54&lt;&gt;"非削孔",G54&lt;&gt;"無設定"),D68,G54="非削孔",IF(MID(B55,1,3)="土留め","非削孔","箱抜き"),G54="無設定","無設定")</f>
        <v>非削孔</v>
      </c>
      <c r="J54" s="23" t="str">
        <f>IF(G54="無設定","","m")</f>
        <v>m</v>
      </c>
      <c r="K54" s="69">
        <v>0.9</v>
      </c>
      <c r="L54" s="30">
        <f>D58*K54</f>
        <v>12.6</v>
      </c>
    </row>
    <row r="55" spans="2:12" ht="12" customHeight="1">
      <c r="B55" s="115" t="s">
        <v>70</v>
      </c>
      <c r="C55" s="91" t="s">
        <v>38</v>
      </c>
      <c r="D55" s="83" t="s">
        <v>52</v>
      </c>
      <c r="E55" s="139" t="str">
        <f>IF(OR(MID(B55,1,3)&lt;&gt;"土留め",D55="なし"),"","腹起し")</f>
        <v>腹起し</v>
      </c>
      <c r="F55" s="19"/>
      <c r="G55" s="68" t="s">
        <v>92</v>
      </c>
      <c r="H55" s="68" t="s">
        <v>91</v>
      </c>
      <c r="I55" s="88" cm="1">
        <f t="array" ref="I55">_xlfn.IFS(AND(G55&lt;&gt;"非削孔",G55&lt;&gt;"無設定"),D68,G55="非削孔","箱抜き",G55="無設定","無設定")</f>
        <v>135</v>
      </c>
      <c r="J55" s="23" t="str">
        <f t="shared" ref="J55:J63" si="1">IF(G55="無設定","","m")</f>
        <v>m</v>
      </c>
      <c r="K55" s="69">
        <v>2.2999999999999998</v>
      </c>
      <c r="L55" s="30">
        <f>D58*K55</f>
        <v>32.199999999999996</v>
      </c>
    </row>
    <row r="56" spans="2:12" ht="12" customHeight="1">
      <c r="B56" s="114" t="str">
        <f>IF(OR(MID(B55,1,3)&lt;&gt;"土留め",D55="なし"),"",B55&amp;"の種類")</f>
        <v>土留め台座の種類</v>
      </c>
      <c r="C56" s="91" t="s">
        <v>38</v>
      </c>
      <c r="D56" s="113" t="s">
        <v>90</v>
      </c>
      <c r="E56" s="122" t="s">
        <v>67</v>
      </c>
      <c r="F56" s="21"/>
      <c r="G56" s="68" t="s">
        <v>49</v>
      </c>
      <c r="H56" s="68" t="s">
        <v>93</v>
      </c>
      <c r="I56" s="88" cm="1">
        <f t="array" ref="I56">_xlfn.IFS(AND(G56&lt;&gt;"非削孔",G56&lt;&gt;"無設定"),D68,G56="非削孔","箱抜き",G56="無設定","無設定")</f>
        <v>135</v>
      </c>
      <c r="J56" s="23" t="str">
        <f t="shared" si="1"/>
        <v>m</v>
      </c>
      <c r="K56" s="69">
        <v>6.4</v>
      </c>
      <c r="L56" s="30">
        <f>D58*K56</f>
        <v>89.600000000000009</v>
      </c>
    </row>
    <row r="57" spans="2:12" ht="12" customHeight="1">
      <c r="B57" s="147" t="s">
        <v>50</v>
      </c>
      <c r="C57" s="91" t="s">
        <v>38</v>
      </c>
      <c r="D57" s="83" t="s">
        <v>51</v>
      </c>
      <c r="E57" s="19"/>
      <c r="F57" s="21"/>
      <c r="G57" s="68" t="s">
        <v>48</v>
      </c>
      <c r="H57" s="68"/>
      <c r="I57" s="88" t="str" cm="1">
        <f t="array" ref="I57">_xlfn.IFS(AND(G57&lt;&gt;"非削孔",G57&lt;&gt;"無設定"),D68,G57="非削孔","箱抜き",G57="無設定","無設定")</f>
        <v>無設定</v>
      </c>
      <c r="J57" s="23" t="str">
        <f t="shared" si="1"/>
        <v/>
      </c>
      <c r="K57" s="69">
        <v>0</v>
      </c>
      <c r="L57" s="30">
        <f>D58*K57</f>
        <v>0</v>
      </c>
    </row>
    <row r="58" spans="2:12" ht="12" customHeight="1">
      <c r="B58" s="22" t="s">
        <v>25</v>
      </c>
      <c r="C58" s="23" t="s">
        <v>24</v>
      </c>
      <c r="D58" s="92">
        <v>14</v>
      </c>
      <c r="E58" s="21"/>
      <c r="F58" s="21"/>
      <c r="G58" s="68" t="s">
        <v>48</v>
      </c>
      <c r="H58" s="68"/>
      <c r="I58" s="88" t="str" cm="1">
        <f t="array" ref="I58">_xlfn.IFS(AND(G58&lt;&gt;"非削孔",G58&lt;&gt;"無設定"),D68,G58="非削孔","箱抜き",G58="無設定","無設定")</f>
        <v>無設定</v>
      </c>
      <c r="J58" s="23" t="str">
        <f t="shared" si="1"/>
        <v/>
      </c>
      <c r="K58" s="69">
        <v>0</v>
      </c>
      <c r="L58" s="30">
        <f>D58*K58</f>
        <v>0</v>
      </c>
    </row>
    <row r="59" spans="2:12" ht="12" customHeight="1">
      <c r="B59" s="22" t="s">
        <v>108</v>
      </c>
      <c r="C59" s="23" t="s">
        <v>23</v>
      </c>
      <c r="D59" s="47">
        <v>3.7</v>
      </c>
      <c r="E59" s="21"/>
      <c r="F59" s="21"/>
      <c r="G59" s="68" t="s">
        <v>61</v>
      </c>
      <c r="H59" s="68"/>
      <c r="I59" s="88" t="str" cm="1">
        <f t="array" ref="I59">_xlfn.IFS(AND(G59&lt;&gt;"非削孔",G59&lt;&gt;"無設定"),D68,G59="非削孔","箱抜き",G59="無設定","無設定")</f>
        <v>無設定</v>
      </c>
      <c r="J59" s="23" t="str">
        <f t="shared" si="1"/>
        <v/>
      </c>
      <c r="K59" s="69">
        <v>0</v>
      </c>
      <c r="L59" s="30">
        <f>D58*K59</f>
        <v>0</v>
      </c>
    </row>
    <row r="60" spans="2:12" ht="12" customHeight="1">
      <c r="B60" s="22" t="s">
        <v>36</v>
      </c>
      <c r="C60" s="23" t="s">
        <v>23</v>
      </c>
      <c r="D60" s="47">
        <v>5</v>
      </c>
      <c r="E60" s="21"/>
      <c r="F60" s="21"/>
      <c r="G60" s="68" t="s">
        <v>48</v>
      </c>
      <c r="H60" s="68"/>
      <c r="I60" s="88" t="str" cm="1">
        <f t="array" ref="I60">_xlfn.IFS(AND(G60&lt;&gt;"非削孔",G60&lt;&gt;"無設定"),D68,G60="非削孔","箱抜き",G60="無設定","無設定")</f>
        <v>無設定</v>
      </c>
      <c r="J60" s="23" t="str">
        <f t="shared" si="1"/>
        <v/>
      </c>
      <c r="K60" s="69">
        <v>0</v>
      </c>
      <c r="L60" s="30">
        <f>D58*K60</f>
        <v>0</v>
      </c>
    </row>
    <row r="61" spans="2:12" ht="12" customHeight="1">
      <c r="B61" s="148" t="str" cm="1">
        <f t="array" ref="B61">"頭部自由長("&amp;_xlfn.IFS(AND(MID(B55,1,3)="土留め",D55="あり"),"腹起し+台座",AND(MID(B55,1,3)="土留め",D55="なし"),"台座なし",AND(MID(B55,1,3)="構造物",D55="あり"),"壁面台座",AND(MID(B55,1,3)="構造物",D55="なし"),"台座なし",AND(MID(B55,1,3)="のり面",D55="あり"),"角度台座＋受圧体",AND(MID(B55,1,3)="のり面",D55="なし"),"受圧体")&amp;")　"&amp;"Lfh"</f>
        <v>頭部自由長(腹起し+台座)　Lfh</v>
      </c>
      <c r="C61" s="23" t="s">
        <v>23</v>
      </c>
      <c r="D61" s="47">
        <v>0.9</v>
      </c>
      <c r="E61" s="21"/>
      <c r="F61" s="21"/>
      <c r="G61" s="68" t="s">
        <v>48</v>
      </c>
      <c r="H61" s="68"/>
      <c r="I61" s="88" t="str" cm="1">
        <f t="array" ref="I61">_xlfn.IFS(AND(G61&lt;&gt;"非削孔",G61&lt;&gt;"無設定"),D68,G61="非削孔","箱抜き",G61="無設定","無設定")</f>
        <v>無設定</v>
      </c>
      <c r="J61" s="23" t="str">
        <f t="shared" si="1"/>
        <v/>
      </c>
      <c r="K61" s="69">
        <v>0</v>
      </c>
      <c r="L61" s="30">
        <f>D58*K61</f>
        <v>0</v>
      </c>
    </row>
    <row r="62" spans="2:12" ht="12" customHeight="1">
      <c r="B62" s="146" t="s">
        <v>69</v>
      </c>
      <c r="C62" s="23" t="s">
        <v>23</v>
      </c>
      <c r="D62" s="24">
        <f>IF(D53="　","──",IF(MID(D53,6,2)*IF(MID(D53,4,1)="5",183,261)*IF(MID(D54,3,1)="Ⅰ",0.65,0.6)*IF(MID(D53,1,2)="除去",0.9,1)&lt;=700,1,1.5))</f>
        <v>1</v>
      </c>
      <c r="E62" s="120"/>
      <c r="G62" s="68" t="s">
        <v>48</v>
      </c>
      <c r="H62" s="68"/>
      <c r="I62" s="88" t="str" cm="1">
        <f t="array" ref="I62">_xlfn.IFS(AND(G62&lt;&gt;"非削孔",G62&lt;&gt;"無設定"),D68,G62="非削孔","箱抜き",G62="無設定","無設定")</f>
        <v>無設定</v>
      </c>
      <c r="J62" s="23" t="str">
        <f t="shared" si="1"/>
        <v/>
      </c>
      <c r="K62" s="69">
        <v>0</v>
      </c>
      <c r="L62" s="30">
        <f>D58*K62</f>
        <v>0</v>
      </c>
    </row>
    <row r="63" spans="2:12" ht="12" customHeight="1">
      <c r="B63" s="6" t="s">
        <v>109</v>
      </c>
      <c r="C63" s="23" t="s">
        <v>23</v>
      </c>
      <c r="D63" s="60">
        <f>IF(D53="　","──",SUM(D59:D62))</f>
        <v>10.6</v>
      </c>
      <c r="E63" s="121"/>
      <c r="F63" s="19"/>
      <c r="G63" s="99" t="str" cm="1">
        <f t="array" ref="G63">INDEX(G54:I62,MATCH("無設定",G54:G62,0)-1,MATCH(G52,G52:I52,0))</f>
        <v>軟　岩</v>
      </c>
      <c r="H63" s="100" t="str" cm="1">
        <f t="array" ref="H63">INDEX(G54:I62,MATCH("無設定",G54:G62,0)-1,MATCH(H52,G52:I52,0))&amp;"　(先端削孔長)"</f>
        <v>シルト岩砂岩互層　(先端削孔長)</v>
      </c>
      <c r="I63" s="88" cm="1">
        <f t="array" ref="I63">INDEX(G54:I62,MATCH("無設定",G54:G62,0)-1,MATCH(I52,G52:I52,0))</f>
        <v>135</v>
      </c>
      <c r="J63" s="23" t="str">
        <f t="shared" si="1"/>
        <v>m</v>
      </c>
      <c r="K63" s="98">
        <f>D67</f>
        <v>0.25</v>
      </c>
      <c r="L63" s="78">
        <f>IFERROR(D58*K63,"")</f>
        <v>3.5</v>
      </c>
    </row>
    <row r="64" spans="2:12" ht="12" customHeight="1">
      <c r="B64" s="22" t="s">
        <v>75</v>
      </c>
      <c r="C64" s="23" t="s">
        <v>35</v>
      </c>
      <c r="D64" s="84">
        <f>IF(D53="　","──",IF(MID(D53,1,2)="除去",0,0.2))</f>
        <v>0.2</v>
      </c>
      <c r="E64" s="123"/>
      <c r="F64" s="19"/>
      <c r="G64" s="72"/>
      <c r="H64" s="75" t="s">
        <v>45</v>
      </c>
      <c r="I64" s="103"/>
      <c r="J64" s="18" t="s">
        <v>23</v>
      </c>
      <c r="K64" s="74">
        <f>SUMIFS(K53:K63,G53:G63,"&lt;&gt;非削孔",G53:G63,"&lt;&gt;無設定")</f>
        <v>8.9499999999999993</v>
      </c>
      <c r="L64" s="95">
        <f>SUMIFS(L53:L63,G53:G63,"&lt;&gt;非削孔",G53:G63,"&lt;&gt;無設定")</f>
        <v>125.30000000000001</v>
      </c>
    </row>
    <row r="65" spans="2:12" ht="12" customHeight="1">
      <c r="B65" s="22" t="s">
        <v>73</v>
      </c>
      <c r="C65" s="23" t="s">
        <v>35</v>
      </c>
      <c r="D65" s="85">
        <v>0</v>
      </c>
      <c r="E65" s="123"/>
      <c r="F65" s="19"/>
      <c r="G65" s="73"/>
      <c r="H65" s="76" t="s">
        <v>47</v>
      </c>
      <c r="I65" s="104"/>
      <c r="J65" s="79" t="s">
        <v>46</v>
      </c>
      <c r="K65" s="77" t="str">
        <f>IF(D53="　","",IF(SUM(D59:D61,D65,D67)=K64+SUMIFS(K53:K63,G53:G63,"=非削孔"),"OK","NG"))</f>
        <v>OK</v>
      </c>
      <c r="L65" s="145" t="str">
        <f>IF(K65&lt;&gt;"NG","──",K64+SUMIFS(K53:K63,G53:G63,"=非削孔")-SUM(D59:D61,D65,D67))</f>
        <v>──</v>
      </c>
    </row>
    <row r="66" spans="2:12" ht="12" customHeight="1">
      <c r="B66" s="22" t="str">
        <f>IF(D53="　","",IF(D65=0,"","頭部背面管削孔径　Dh"))</f>
        <v/>
      </c>
      <c r="C66" s="23" t="str">
        <f>IF(D53="　","",IF(D65=0,"","mm"))</f>
        <v/>
      </c>
      <c r="D66" s="93" t="str" cm="1">
        <f t="array" ref="D66">IF(D53="　","",IF(D65=0,"",IF(MID(D53,4,1)="5",_xlfn.IFS(VALUE(MID(D53,6,2))&lt;7,115,VALUE(MID(D53,6,2))&gt;6,135),"未設定")))</f>
        <v/>
      </c>
      <c r="E66" s="121"/>
      <c r="F66" s="19"/>
      <c r="G66" s="94" t="s">
        <v>58</v>
      </c>
      <c r="H66" s="252" t="s">
        <v>62</v>
      </c>
      <c r="I66" s="253"/>
      <c r="J66" s="253"/>
      <c r="K66" s="253"/>
      <c r="L66" s="254"/>
    </row>
    <row r="67" spans="2:12" ht="12" customHeight="1">
      <c r="B67" s="25" t="s">
        <v>74</v>
      </c>
      <c r="C67" s="26" t="s">
        <v>23</v>
      </c>
      <c r="D67" s="27">
        <f>IF(MID(D53,1,2)="残置",0.25,0.2)</f>
        <v>0.25</v>
      </c>
      <c r="E67" s="117"/>
      <c r="F67" s="1"/>
      <c r="G67" s="8"/>
      <c r="H67" s="8"/>
      <c r="I67" s="102"/>
    </row>
    <row r="68" spans="2:12" ht="12" customHeight="1">
      <c r="B68" s="25" t="s">
        <v>57</v>
      </c>
      <c r="C68" s="26" t="s">
        <v>32</v>
      </c>
      <c r="D68" s="82" cm="1">
        <f t="array" ref="D68">IF(D53="　","──",IF(E68="　",_xlfn.IFS(MID(D53,1,2)="除去",IF(MID(D53,4,1)="5",135,165),MID(D53,1,2)="残置",IF(MID(D53,4,1)="5",IF(VALUE(MID(D53,6,2))&lt;8,115,135),IF(VALUE(MID(D53,6,2))&lt;10,146,165))),E68))</f>
        <v>135</v>
      </c>
      <c r="E68" s="142">
        <v>135</v>
      </c>
      <c r="F68" s="1"/>
      <c r="G68" s="8"/>
      <c r="H68" s="8"/>
      <c r="I68" s="102"/>
    </row>
    <row r="69" spans="2:12" ht="12" customHeight="1">
      <c r="F69" s="1"/>
      <c r="G69" s="8"/>
      <c r="H69" s="8"/>
      <c r="I69" s="102"/>
    </row>
    <row r="70" spans="2:12" ht="12" customHeight="1">
      <c r="B70" s="15" t="str">
        <f>"■"&amp;MID(B48,2,17)</f>
        <v>■短期仮設：KJS残置アンカー数量表</v>
      </c>
      <c r="C70" s="3"/>
      <c r="D70" s="1"/>
      <c r="E70" s="1"/>
      <c r="F70" s="1"/>
      <c r="G70" s="8"/>
      <c r="H70" s="8"/>
      <c r="I70" s="102"/>
    </row>
    <row r="71" spans="2:12" ht="12" customHeight="1">
      <c r="B71" s="2" t="s">
        <v>17</v>
      </c>
      <c r="C71" s="43"/>
      <c r="D71" s="134"/>
      <c r="E71" s="61" t="s">
        <v>78</v>
      </c>
      <c r="F71" s="135"/>
      <c r="G71" s="16"/>
      <c r="H71" s="61" t="s">
        <v>42</v>
      </c>
      <c r="I71" s="97"/>
      <c r="J71" s="2" t="s">
        <v>21</v>
      </c>
      <c r="K71" s="49" t="s">
        <v>29</v>
      </c>
      <c r="L71" s="2" t="s">
        <v>28</v>
      </c>
    </row>
    <row r="72" spans="2:12" ht="12" customHeight="1">
      <c r="B72" s="4" t="str">
        <f>IF(MID(D53,1,2)="除去","アンボンド","")&amp;"PCストランド"</f>
        <v>PCストランド</v>
      </c>
      <c r="C72" s="39" t="str">
        <f>IF(D53="　","",D53&amp;"("&amp;MID(D53,6,2)&amp;IF(MID(D53,4,1)="5","φ12.7","φ15.2")&amp;")")</f>
        <v>残置J5-4(4φ12.7)</v>
      </c>
      <c r="D72" s="32"/>
      <c r="E72" s="32"/>
      <c r="F72" s="33"/>
      <c r="G72" s="143" t="str">
        <f>"W="&amp;IF(MID(D53,1,2)="除去","(ﾃﾝﾄﾞﾝ長+ｱﾝｶｰ体長×(1/鋼線本数-0.5))","(テンドン長+先端長0.2m)")&amp;"×鋼線本数×"&amp;IF(MID(D53,4,1)="5","0.774","1.101")&amp;"kg/m"</f>
        <v>W=(テンドン長+先端長0.2m)×鋼線本数×0.774kg/m</v>
      </c>
      <c r="H72" s="62"/>
      <c r="I72" s="105"/>
      <c r="J72" s="5" t="s">
        <v>11</v>
      </c>
      <c r="K72" s="29">
        <f>IF(D53="　","",MROUND(IF(MID(D53,1,2)="除去",D63+D60*(1/MID(D53,6,2)-0.5),D63+D64)*MID(D53,6,2)*IF(MID(D53,4,1)="5","0.774","1.101"),0.01))</f>
        <v>33.44</v>
      </c>
      <c r="L72" s="29">
        <f>IFERROR(D58*K72,"")</f>
        <v>468.15999999999997</v>
      </c>
    </row>
    <row r="73" spans="2:12" ht="12" customHeight="1">
      <c r="B73" s="6" t="s">
        <v>20</v>
      </c>
      <c r="C73" s="34"/>
      <c r="D73" s="35"/>
      <c r="E73" s="35"/>
      <c r="F73" s="36"/>
      <c r="G73" s="56" t="str">
        <f>"L=テンドン長"&amp;IF(MID(D53,1,2)="除去","+アンカー体長×(1/鋼線本数-0.5))","")</f>
        <v>L=テンドン長</v>
      </c>
      <c r="H73" s="63"/>
      <c r="I73" s="106"/>
      <c r="J73" s="7" t="s">
        <v>12</v>
      </c>
      <c r="K73" s="30">
        <f>IF(D53="　","",MROUND(D63+IF(MID(D53,1,2)="除去",D60*(1/MID(D53,6,2)-0.5),0),0.1))</f>
        <v>10.600000000000001</v>
      </c>
      <c r="L73" s="30">
        <f>IFERROR(D58*K73,"")</f>
        <v>148.40000000000003</v>
      </c>
    </row>
    <row r="74" spans="2:12" ht="12" customHeight="1">
      <c r="B74" s="6" t="str">
        <f>IF(MID(D53,1,2)="除去","耐荷体","注入ホース")</f>
        <v>注入ホース</v>
      </c>
      <c r="C74" s="34" t="str" cm="1">
        <f t="array" ref="C74">IF(D53="　","",IF(MID(D53,1,2)="除去",IF(MID(D53,1,2)="除去",MID(D53,3,2)&amp;"用Bタイプ、FCD450相当"&amp;_xlfn.IFS(MID(D54,3,1)="Ⅰ","",MID(D54,3,1)="Ⅱ","、亜鉛めっき処理",MID(D54,3,1)="Ⅲ","、ｱﾙﾐﾅｲｽﾞ処理"),""),"1/2″"))</f>
        <v>1/2″</v>
      </c>
      <c r="D74" s="35"/>
      <c r="E74" s="35"/>
      <c r="F74" s="36"/>
      <c r="G74" s="127" t="str">
        <f>IF(MID(D53,1,2)="除去","N="&amp;0.5*MID(D53,6,2),"L=テンドン長")</f>
        <v>L=テンドン長</v>
      </c>
      <c r="H74" s="63"/>
      <c r="I74" s="106"/>
      <c r="J74" s="7" t="str">
        <f>IF(MID(D53,1,2)="除去","個","m")</f>
        <v>m</v>
      </c>
      <c r="K74" s="130">
        <f>IF(D53="　","",IF(MID(D53,1,2)="除去",MID(G74,3,2),MROUND(D63,0.1)))</f>
        <v>10.600000000000001</v>
      </c>
      <c r="L74" s="30">
        <f>IFERROR(D58*K74,"")</f>
        <v>148.40000000000003</v>
      </c>
    </row>
    <row r="75" spans="2:12" ht="12" customHeight="1">
      <c r="B75" s="109" t="str">
        <f>IF(MID(D53,1,2)="除去","結束テープ","パイロットキャップ")</f>
        <v>パイロットキャップ</v>
      </c>
      <c r="C75" s="34" t="str" cm="1">
        <f t="array" ref="C75">IF(D53="　","",IF(MID(D53,1,2)="除去","","Ｊ"&amp;IF(MID(D53,4,1)="5",_xlfn.IFS(VALUE(MID(D53,6,2))&lt;5,"5-4",VALUE(MID(D53,6,2))&lt;8,"5-7",VALUE(MID(D53,6,2))&lt;10,"5-9",VALUE(MID(D53,6,2))&gt;9,"5-12"),_xlfn.IFS(VALUE(MID(D53,6,2))&lt;10,"6-9",VALUE(MID(D53,6,2))&lt;13,"6-12",VALUE(MID(D53,6,2))&gt;12,"6-19"))&amp;"用、"&amp;IF(AND(MID(D53,4,1)="6",VALUE(MID(D53,6,2))&gt;9),"AC2A","ポリプロピレン")))</f>
        <v>Ｊ5-4用、ポリプロピレン</v>
      </c>
      <c r="D75" s="35"/>
      <c r="E75" s="35"/>
      <c r="F75" s="36"/>
      <c r="G75" s="52" t="str">
        <f>IF(MID(D53,1,2)="除去","L=(自由長+頭部自由長+緊張余長)÷2.0mピッチ","N=1")</f>
        <v>N=1</v>
      </c>
      <c r="H75" s="110"/>
      <c r="I75" s="53"/>
      <c r="J75" s="7" t="str">
        <f>IF(MID(D53,1,2)="除去","m","個")</f>
        <v>個</v>
      </c>
      <c r="K75" s="130" t="str">
        <f>IF(D53="　","",IF(MID(D53,1,2)="除去",MROUND(SUM(D59,D61:D62)/2,0.01),MID(G75,3,2)))</f>
        <v>1</v>
      </c>
      <c r="L75" s="30">
        <f>IFERROR(D58*K75,"")</f>
        <v>14</v>
      </c>
    </row>
    <row r="76" spans="2:12" ht="12" customHeight="1">
      <c r="B76" s="109" t="str">
        <f>IF(MID(D53,1,2)="除去",IF(D54="防食Ⅰ","アンカープレート","溝付アンカープレート"),"スペーサ")</f>
        <v>スペーサ</v>
      </c>
      <c r="C76" s="96" t="str" cm="1">
        <f t="array" ref="C76">IF(D53="　","",_xlfn.SINGLE(IF(MID(D53,1,2)="除去","J"&amp;_xlfn.SINGLE(IF(MID(D53,4,1)="5",_xlfn.IFS(VALUE(MID(D53,6,2))&lt;3,"5-2",VALUE(MID(D53,6,2))&lt;5,"5-4",VALUE(MID(D53,6,2))&lt;7,"5-7",VALUE(MID(D53,6,2))&lt;10,"5-9",VALUE(MID(D53,6,2))&gt;9,"5-12"),_xlfn.IFS(VALUE(MID(D53,6,2))&lt;13,"6-12")))&amp;"用、"&amp;IF(D54="防食Ⅰ","SS400相当","SS400・STKM13A相当、防食：")&amp;_xlfn.IFS(D54="防食Ⅰ","無処理",D54="防食Ⅱ","亜鉛めっき処理",D54="防食Ⅲ","ｱﾙﾐﾅｲｽﾞ処理"),"J"&amp;IF(MID(D53,4,1)="5",_xlfn.IFS(VALUE(MID(D53,6,2))&lt;8,"5-7",VALUE(MID(D53,6,2))&gt;7,"5-12"),_xlfn.IFS(VALUE(MID(D53,6,2))&lt;8,"6-7",VALUE(MID(D53,6,2))&lt;13,"6-12",VALUE(MID(D53,6,2))&gt;12,"6-19"))&amp;"用、"&amp;IF(AND(MID(D53,4,1)="6",VALUE(MID(D53,6,2))&gt;9),"AC2B","ポリプロピレン"))))</f>
        <v>J5-7用、ポリプロピレン</v>
      </c>
      <c r="D76" s="35"/>
      <c r="E76" s="35"/>
      <c r="F76" s="36"/>
      <c r="G76" s="127" t="str">
        <f>IF(MID(D53,1,2)="除去","N=1","N=アンカー体÷1.0mピッチ")</f>
        <v>N=アンカー体÷1.0mピッチ</v>
      </c>
      <c r="H76" s="63"/>
      <c r="I76" s="106"/>
      <c r="J76" s="7" t="str">
        <f>IF(MID(D53,1,2)="除去","枚","m")</f>
        <v>m</v>
      </c>
      <c r="K76" s="130">
        <f>IF(D53="　","",IF(D53="　","",IF(MID(D53,1,2)="除去",MID(G76,3,2),MROUND(D60/1,1))))</f>
        <v>5</v>
      </c>
      <c r="L76" s="30">
        <f>IFERROR(D58*K76,"")</f>
        <v>70</v>
      </c>
    </row>
    <row r="77" spans="2:12" ht="12" customHeight="1">
      <c r="B77" s="109" t="str">
        <f>IF(MID(D53,1,2)="除去","アンカーヘッド","結束バンド")</f>
        <v>結束バンド</v>
      </c>
      <c r="C77" s="34" t="str">
        <f>IF(D53="　","",IF(MID(D53,1,2)="除去","J"&amp;IF(MID(D53,4,1)="5",_xlfn.IFS(VALUE(MID(D53,6,2))&lt;3,"5-2",VALUE(MID(D53,6,2))&lt;4,"5-3",VALUE(MID(D53,6,2))&lt;5,"5-4",VALUE(MID(D53,6,2))&lt;8,"5-7",VALUE(MID(D53,6,2))&lt;10,"5-9",VALUE(MID(D53,6,2))&gt;9,"5-12"),_xlfn.IFS(VALUE(MID(D53,6,2))&lt;8,"6-7",VALUE(MID(D53,6,2))&gt;7,"6-12"))&amp;"用、S45C相当","AB350、66ナイロン"))</f>
        <v>AB350、66ナイロン</v>
      </c>
      <c r="D77" s="35"/>
      <c r="E77" s="35"/>
      <c r="F77" s="36"/>
      <c r="G77" s="127" t="str">
        <f>IF(MID(D53,1,2)="除去","N=1","N=スペーサ数×2")</f>
        <v>N=スペーサ数×2</v>
      </c>
      <c r="H77" s="63"/>
      <c r="I77" s="106"/>
      <c r="J77" s="7" t="str">
        <f>IF(MID(D53,1,2)="除去","個","本")</f>
        <v>本</v>
      </c>
      <c r="K77" s="130">
        <f>IF(D53="　","",IF(MID(D53,1,2)="除去",MID(G77,3,2),2*K76))</f>
        <v>10</v>
      </c>
      <c r="L77" s="30">
        <f>IFERROR(D58*K77,"")</f>
        <v>140</v>
      </c>
    </row>
    <row r="78" spans="2:12" ht="12" customHeight="1">
      <c r="B78" s="6" t="str">
        <f>IF(MID(D53,1,2)="除去","くさび","ポリホース")</f>
        <v>ポリホース</v>
      </c>
      <c r="C78" s="34" t="str">
        <f>IF(D53="　","",IF(MID(D53,1,2)="除去",MID(D53,3,5)&amp;"用、"&amp;IF(MID(D53,4,1)="5","φ12.7","φ15.2")&amp;"、SCM415相当","1-1/2″"))</f>
        <v>1-1/2″</v>
      </c>
      <c r="D78" s="35"/>
      <c r="E78" s="35"/>
      <c r="F78" s="36"/>
      <c r="G78" s="127" t="str">
        <f>IF(MID(D53,1,2)="除去","N="&amp;MID(D53,6,2),"L=自由長-0.5m")</f>
        <v>L=自由長-0.5m</v>
      </c>
      <c r="H78" s="63"/>
      <c r="I78" s="106"/>
      <c r="J78" s="7" t="str">
        <f>IF(MID(D53,1,2)="除去","組","m")</f>
        <v>m</v>
      </c>
      <c r="K78" s="130">
        <f>IF(D53="　","",IF(MID(D53,1,2)="除去",MID(G78,3,2),D59+D61-0.5))</f>
        <v>4.1000000000000005</v>
      </c>
      <c r="L78" s="30">
        <f>IFERROR(D58*K78,"")</f>
        <v>57.400000000000006</v>
      </c>
    </row>
    <row r="79" spans="2:12" ht="12" customHeight="1">
      <c r="B79" s="6" t="str">
        <f>IF(MID(D53,1,2)="除去",IF(D54="防食Ⅰ","","ヘッドキャップ"),"アンカープレート")</f>
        <v>アンカープレート</v>
      </c>
      <c r="C79" s="96" t="str" cm="1">
        <f t="array" ref="C79">IF(D53="　","",IF(MID(D53,1,2)="除去",IF(D54="防食Ⅰ","","J"&amp;_xlfn.SINGLE(IF(MID(D53,4,1)="5",_xlfn.IFS(VALUE(MID(D53,6,2))&lt;5,"5-4",VALUE(MID(D53,6,2))&lt;8,"5-7",VALUE(MID(D53,6,2))&gt;7,"5-12"),"未設定"))&amp;"RN用、AC4C相当"&amp;IF(D54="防食Ⅱ","","、防食：タケコート処理")),"J"&amp;_xlfn.SINGLE(IF(MID(D53,4,1)="5",_xlfn.IFS(VALUE(MID(D53,6,2))&lt;3,"5-2",VALUE(MID(D53,6,2))&lt;5,"5-4",VALUE(MID(D53,6,2))&lt;7,"5-7",VALUE(MID(D53,6,2))&lt;10,"5-9",VALUE(MID(D53,6,2))&gt;9,"5-12"),_xlfn.IFS(VALUE(MID(D53,6,2))&lt;13,"6-12")))&amp;"用、"&amp;IF(D54="防食Ⅰ","SS400相当","SS400・STKM13A相当、防食：")&amp;_xlfn.IFS(D54="防食Ⅰ","、防食：無処理",D54="防食Ⅱ","、防食：亜鉛めっき",D54="防食Ⅲ","、防食：ｱﾙﾐﾅｲｽﾞ")))</f>
        <v>J5-4用、SS400相当、防食：無処理</v>
      </c>
      <c r="D79" s="44"/>
      <c r="E79" s="44"/>
      <c r="F79" s="45"/>
      <c r="G79" s="52" t="str">
        <f>IF(MID(D53,1,2)="除去","N="&amp;IF(D54="防食Ⅰ","",1),"N=1")</f>
        <v>N=1</v>
      </c>
      <c r="H79" s="64"/>
      <c r="I79" s="53"/>
      <c r="J79" s="7" t="str">
        <f>IF(MID(D53,1,2)="除去",IF(D54="防食Ⅰ","","個"),"枚")</f>
        <v>枚</v>
      </c>
      <c r="K79" s="130" t="str">
        <f>IF(D53="　","",IF(MID(D53,1,2)="除去",MID(G79,3,2),MID(G79,3,2)))</f>
        <v>1</v>
      </c>
      <c r="L79" s="30">
        <f>IFERROR(D58*K79,"")</f>
        <v>14</v>
      </c>
    </row>
    <row r="80" spans="2:12" ht="12" customHeight="1">
      <c r="B80" s="6" t="str">
        <f>IF(MID(D53,1,2)="除去",IF(D54="防食Ⅰ","","頭部防錆油"),"アンカーヘッド")</f>
        <v>アンカーヘッド</v>
      </c>
      <c r="C80" s="34" t="str">
        <f>IF(D53="　","",IF(MID(D53,1,2)="除去",IF(D54="防食Ⅰ","","PCコートC"),"J"&amp;IF(MID(D53,4,1)="5",_xlfn.IFS(VALUE(MID(D53,6,2))&lt;3,"5-2",VALUE(MID(D53,6,2))&lt;4,"5-3",VALUE(MID(D53,6,2))&lt;5,"5-4",VALUE(MID(D53,6,2))&lt;8,"5-7",VALUE(MID(D53,6,2))&lt;10,"5-9",VALUE(MID(D53,6,2))&gt;9,"5-12"),_xlfn.IFS(VALUE(MID(D53,6,2))&lt;8,"6-7",VALUE(MID(D53,6,2))&gt;7,"6-12"))&amp;"用、S45C相当"))</f>
        <v>J5-4用、S45C相当</v>
      </c>
      <c r="D80" s="35"/>
      <c r="E80" s="35"/>
      <c r="F80" s="36"/>
      <c r="G80" s="52" t="str">
        <f>IF(MID(D53,1,2)="除去","W="&amp;IF(D54="防食Ⅰ","",IF(MID(D53,4,1)="5",_xlfn.IFS(VALUE(MID(D53,6,2))&lt;4,1.8,VALUE(MID(D53,6,2))&lt;5,2,VALUE(MID(D53,6,2))&lt;8,2.7,VALUE(MID(D53,6,2))&gt;7,5),_xlfn.IFS(VALUE(MID(D53,6,2))=1,1.8,VALUE(MID(D53,6,2))&lt;3,2,VALUE(MID(D53,6,2))&lt;5,2.7,VALUE(MID(D53,6,2))&lt;8,5,VALUE(MID(D53,6,2))&gt;7,12.3))),"N=1")</f>
        <v>N=1</v>
      </c>
      <c r="H80" s="64"/>
      <c r="I80" s="53"/>
      <c r="J80" s="7" t="str">
        <f>IF(MID(D53,1,2)="除去",IF(D54="防食Ⅰ","","kg"),"個")</f>
        <v>個</v>
      </c>
      <c r="K80" s="130" t="str">
        <f>IF(D53="　","",IF(MID(D53,1,2)="除去",MID(G80,3,4),MID(G80,3,2)))</f>
        <v>1</v>
      </c>
      <c r="L80" s="30">
        <f>IFERROR(D58*K80,"")</f>
        <v>14</v>
      </c>
    </row>
    <row r="81" spans="2:12" ht="12" customHeight="1">
      <c r="B81" s="6" t="str">
        <f>IF(MID(D53,1,2)="除去",IF(D54="防食Ⅰ","","止水具スペーサ"),"くさび")</f>
        <v>くさび</v>
      </c>
      <c r="C81" s="34" t="str">
        <f>IF(D53="　","",IF(MID(D53,1,2)="除去",IF(D54="防食Ⅰ","",MID(D53,3,5)&amp;"用、NBR45相当"),MID(D53,3,5)&amp;"用、"&amp;IF(MID(D53,4,1)="5","φ12.7","φ15.2")&amp;"、SCM415相当"))</f>
        <v>J5-4用、φ12.7、SCM415相当</v>
      </c>
      <c r="D81" s="35"/>
      <c r="E81" s="35"/>
      <c r="F81" s="36"/>
      <c r="G81" s="52" t="str">
        <f>IF(D53="　","",IF(MID(D53,1,2)="除去","N="&amp;IF(D54="防食Ⅰ","",1),"N="&amp;MID(D53,6,2)))</f>
        <v>N=4</v>
      </c>
      <c r="H81" s="64"/>
      <c r="I81" s="53"/>
      <c r="J81" s="7" t="str">
        <f>IF(MID(D53,1,2)="除去",IF(D54="防食Ⅰ","","個"),"組")</f>
        <v>組</v>
      </c>
      <c r="K81" s="130" t="str">
        <f>IF(D53="　","",IF(MID(D53,1,2)="除去",MID(G81,3,2),MID(G81,3,2)))</f>
        <v>4</v>
      </c>
      <c r="L81" s="30">
        <f>IFERROR(D58*K81,"")</f>
        <v>56</v>
      </c>
    </row>
    <row r="82" spans="2:12" ht="12" customHeight="1">
      <c r="B82" s="6" t="str">
        <f>IF(MID(D53,1,2)="除去",IF(D54="防食Ⅰ","","配列スペーサ"),"サンタックシーラー")</f>
        <v>サンタックシーラー</v>
      </c>
      <c r="C82" s="34" t="str">
        <f>IF(D53="　","",IF(MID(D53,1,2)="除去",IF(D54="防食Ⅰ","","J"&amp;IF(MID(D53,4,1)="5",_xlfn.IFS(VALUE(MID(D53,6,2))=3,"5-3",VALUE(MID(D53,6,2))&lt;5,"5-4",VALUE(MID(D53,6,2))&lt;8,"5-7",VALUE(MID(D53,6,2))&gt;7,"5-12"),_xlfn.IFS(VALUE(MID(D53,6,2))=3,"6-3",VALUE(MID(D53,6,2))&lt;5,"6-4",VALUE(MID(D53,6,2))&lt;8,"6-7",VALUE(MID(D53,6,2))&gt;7,"6-12"))&amp;"用、ポリエチレン"),""))</f>
        <v/>
      </c>
      <c r="D82" s="35"/>
      <c r="E82" s="35"/>
      <c r="F82" s="36"/>
      <c r="G82" s="52" t="str" cm="1">
        <f t="array" ref="G82">IF(D53="　","",IF(MID(D53,1,2)="除去","N="&amp;IF(D54="防食Ⅰ","",1),"N="&amp;IF(MID(D53,4,1)="5",_xlfn.IFS(VALUE(MID(D53,6,2))&lt;5,0.03,VALUE(MID(D53,6,2))&lt;8,0.04,VALUE(MID(D53,6,2))&lt;13,0.06),_xlfn.IFS(VALUE(MID(D53,6,2))&lt;4,0.03,VALUE(MID(D53,6,2))&lt;6,0.04,VALUE(MID(D53,6,2))&lt;9,0.06,VALUE(MID(D53,6,2))&gt;8,0.09))&amp;"巻/本"))</f>
        <v>N=0.03巻/本</v>
      </c>
      <c r="H82" s="64"/>
      <c r="I82" s="53"/>
      <c r="J82" s="7" t="str">
        <f>IF(MID(D53,1,2)="除去",IF(D54="防食Ⅰ","","個"),"巻")</f>
        <v>巻</v>
      </c>
      <c r="K82" s="130" t="str">
        <f>IF(D53="　","",IF(MID(D53,1,2)="除去",MID(G82,3,2),MID(G82,3,4)))</f>
        <v>0.03</v>
      </c>
      <c r="L82" s="30">
        <f>IFERROR(D58*K82,"")</f>
        <v>0.42</v>
      </c>
    </row>
    <row r="83" spans="2:12" ht="12" customHeight="1">
      <c r="B83" s="6" t="str">
        <f>IF(MID(D53,1,2)="除去","","結束テープ")</f>
        <v>結束テープ</v>
      </c>
      <c r="C83" s="34" t="str">
        <f>IF(D53="　","",IF(MID(D53,1,2)="除去","",""))</f>
        <v/>
      </c>
      <c r="D83" s="35"/>
      <c r="E83" s="35"/>
      <c r="F83" s="36"/>
      <c r="G83" s="52" t="str" cm="1">
        <f t="array" ref="G83">IF(D53="　","",IF(MID(D53,1,2)="除去","","L=(自由長+緊張余長)×係数"&amp;IF(MID(D53,4,1)="5",_xlfn.IFS(VALUE(MID(D53,6,2))&lt;5,"1.0",VALUE(MID(D53,6,2))&lt;8,"1.1",VALUE(MID(D53,6,2))&lt;13,"1.2"),_xlfn.IFS(VALUE(MID(D53,6,2))&lt;4,"1.0",VALUE(MID(D53,6,2))&lt;6,"1.1",VALUE(MID(D53,6,2))&lt;9,"1.2",VALUE(MID(D53,6,2))&gt;8,"1.4"))))</f>
        <v>L=(自由長+緊張余長)×係数1.0</v>
      </c>
      <c r="H83" s="64"/>
      <c r="I83" s="53"/>
      <c r="J83" s="7" t="str">
        <f>IF(MID(D53,1,2)="除去","","m")</f>
        <v>m</v>
      </c>
      <c r="K83" s="6">
        <f>IF(D53="　","",IF(MID(D53,1,2)="除去","",MROUND(SUM(D59,D61:D62)*RIGHT(G83,3),0.1)))</f>
        <v>5.6000000000000005</v>
      </c>
      <c r="L83" s="30">
        <f>IFERROR(D58*K83,"")</f>
        <v>78.400000000000006</v>
      </c>
    </row>
    <row r="84" spans="2:12" ht="12" customHeight="1">
      <c r="B84" s="126" t="str">
        <f>IF(MID(D53,1,2)="除去","","防錆材")</f>
        <v>防錆材</v>
      </c>
      <c r="C84" s="126" t="str">
        <f>IF(D53="　","",IF(MID(D53,1,2)="除去","","自由長部塗布"))</f>
        <v>自由長部塗布</v>
      </c>
      <c r="D84" s="35"/>
      <c r="E84" s="35"/>
      <c r="F84" s="35"/>
      <c r="G84" s="128" t="str">
        <f>IF(MID(D53,1,2)="除去","","W=(自由長-0.5m)×鋼線本数×0.0646kg")</f>
        <v>W=(自由長-0.5m)×鋼線本数×0.0646kg</v>
      </c>
      <c r="H84" s="35"/>
      <c r="I84" s="125"/>
      <c r="J84" s="48" t="str">
        <f>IF(MID(D53,1,2)="除去","","kg")</f>
        <v>kg</v>
      </c>
      <c r="K84" s="6">
        <f>IF(D53="　","",IF(MID(D53,1,2)="除去","",MROUND((D59+D61-0.5)*MID(D53,6,2)*0.0646,0.1)))</f>
        <v>1.1000000000000001</v>
      </c>
      <c r="L84" s="30">
        <f>IFERROR(D58*K84,"")</f>
        <v>15.400000000000002</v>
      </c>
    </row>
    <row r="85" spans="2:12" ht="12" customHeight="1">
      <c r="B85" s="6" t="str">
        <f>IF(D55="なし","",B55)</f>
        <v>土留め台座</v>
      </c>
      <c r="C85" s="34" t="str" cm="1">
        <f t="array" ref="C85">IF(D53="　","",IF(D55="なし","",_xlfn.IFS(MID(B55,1,3)="のり面",_xlfn.IFS(VALUE(MID(D53,6,2))&lt;5,"ST170",VALUE(MID(D53,6,2))&lt;8,"ST200",VALUE(MID(D53,6,2))&lt;13,"ST200")&amp;"、FCD450相当",OR(MID(B55,1,3)="構造物",MID(B55,1,3)="土留め"),D53&amp;"用"&amp;IF(OR(MID(B55,1,3)="構造物",D56="　"),"",D56&amp;"/"&amp;E56))&amp;"、防食："&amp;_xlfn.IFS(D54="防食Ⅰ","無処理",D54="防食Ⅱ","亜鉛めっき処理",D54="防食Ⅲ","ｱﾙﾐﾅｲｽﾞ処理")))</f>
        <v>残置J5-4用DB530/H350、防食：無処理</v>
      </c>
      <c r="D85" s="35"/>
      <c r="E85" s="35"/>
      <c r="F85" s="36"/>
      <c r="G85" s="52" t="str">
        <f>IF(D55="なし","","N=1")</f>
        <v>N=1</v>
      </c>
      <c r="H85" s="64"/>
      <c r="I85" s="53"/>
      <c r="J85" s="7" t="str">
        <f>IF(D55="なし","","台")</f>
        <v>台</v>
      </c>
      <c r="K85" s="130" t="str">
        <f>IF(D53="　","",MID(G85,3,2))</f>
        <v>1</v>
      </c>
      <c r="L85" s="30">
        <f>IF(K85="","",D58*K85)</f>
        <v>14</v>
      </c>
    </row>
    <row r="86" spans="2:12" ht="12" customHeight="1">
      <c r="B86" s="6" t="str">
        <f>IF(D57="なし","","フリーパッカー注入ホース")</f>
        <v/>
      </c>
      <c r="C86" s="34" t="str">
        <f>IF(D53="　","",IF(B86="","","16/20"))</f>
        <v/>
      </c>
      <c r="D86" s="35"/>
      <c r="E86" s="35"/>
      <c r="F86" s="36"/>
      <c r="G86" s="127" t="str">
        <f>IF(B86="","","L=自由長+頭部自由長+緊張余長")</f>
        <v/>
      </c>
      <c r="H86" s="64"/>
      <c r="I86" s="53"/>
      <c r="J86" s="7" t="str">
        <f>IF(D57="なし","","m")</f>
        <v/>
      </c>
      <c r="K86" s="6" t="str">
        <f>IF(D53="　","",IF(B86="","",MROUND(SUM(D59,D61:D62),0.1)))</f>
        <v/>
      </c>
      <c r="L86" s="30" t="str">
        <f>IF(K86="","",D58*K86)</f>
        <v/>
      </c>
    </row>
    <row r="87" spans="2:12" ht="12" customHeight="1">
      <c r="B87" s="6" t="str">
        <f>IF(D57="なし","","フリーパッカー")</f>
        <v/>
      </c>
      <c r="C87" s="52" t="str">
        <f>IF(D53="　","",_xlfn.SINGLE(IF(B86="","",_xlfn.IFS(D65=90,"PA-170",D65=115,"PA-200",D65&lt;147,"PA-240",D65&gt;147,"PA-350"))))</f>
        <v/>
      </c>
      <c r="D87" s="35"/>
      <c r="E87" s="35"/>
      <c r="F87" s="36"/>
      <c r="G87" s="129" t="str">
        <f>IF(B87="","","L=自由長+0.5m")</f>
        <v/>
      </c>
      <c r="H87" s="80"/>
      <c r="I87" s="81"/>
      <c r="J87" s="7" t="str">
        <f>IF(D57="なし","","m")</f>
        <v/>
      </c>
      <c r="K87" s="30" t="str">
        <f>IF(D53="　","",IF(B87="","",MROUND(D59+0.5,0.1)))</f>
        <v/>
      </c>
      <c r="L87" s="30" t="str">
        <f>IF(K87="","",D58*K87)</f>
        <v/>
      </c>
    </row>
    <row r="88" spans="2:12" ht="12" customHeight="1">
      <c r="B88" s="6" t="str">
        <f>IF(D57="なし","","パッカー取付加工")</f>
        <v/>
      </c>
      <c r="C88" s="34"/>
      <c r="D88" s="35"/>
      <c r="E88" s="35"/>
      <c r="F88" s="36"/>
      <c r="G88" s="52" t="str">
        <f>IF(B88="","","N=1")</f>
        <v/>
      </c>
      <c r="H88" s="64"/>
      <c r="I88" s="53"/>
      <c r="J88" s="7" t="str">
        <f>IF(D57="なし","","式")</f>
        <v/>
      </c>
      <c r="K88" s="130" t="str">
        <f>IF(D53="　","",MID(G88,3,2))</f>
        <v/>
      </c>
      <c r="L88" s="30" t="str">
        <f>IF(K88="","",D58*K88)</f>
        <v/>
      </c>
    </row>
    <row r="89" spans="2:12" ht="12" customHeight="1">
      <c r="B89" s="9"/>
      <c r="C89" s="52"/>
      <c r="D89" s="35"/>
      <c r="E89" s="35"/>
      <c r="F89" s="36"/>
      <c r="G89" s="57"/>
      <c r="H89" s="65"/>
      <c r="I89" s="107"/>
      <c r="J89" s="10"/>
      <c r="K89" s="30"/>
      <c r="L89" s="30"/>
    </row>
    <row r="90" spans="2:12" ht="12" customHeight="1">
      <c r="B90" s="11"/>
      <c r="C90" s="42"/>
      <c r="D90" s="37"/>
      <c r="E90" s="37"/>
      <c r="F90" s="38"/>
      <c r="G90" s="58"/>
      <c r="H90" s="66"/>
      <c r="I90" s="54"/>
      <c r="J90" s="12"/>
      <c r="K90" s="11"/>
      <c r="L90" s="11"/>
    </row>
    <row r="91" spans="2:12" ht="12" customHeight="1">
      <c r="B91" s="14" t="s">
        <v>30</v>
      </c>
      <c r="C91" s="43" t="s">
        <v>31</v>
      </c>
      <c r="D91" s="40"/>
      <c r="E91" s="40"/>
      <c r="F91" s="41"/>
      <c r="G91" s="59" t="s">
        <v>56</v>
      </c>
      <c r="H91" s="67"/>
      <c r="I91" s="108"/>
      <c r="J91" s="2" t="s">
        <v>55</v>
      </c>
      <c r="K91" s="31">
        <f>IFERROR(MROUND(0.25*PI()*(0.001*D68)^2*(D59+D60+D65+D67)*(1+2.2),0.01),"")</f>
        <v>0.41000000000000003</v>
      </c>
      <c r="L91" s="31">
        <f>IFERROR(D58*K91,"")</f>
        <v>5.74</v>
      </c>
    </row>
    <row r="94" spans="2:12" ht="12" customHeight="1">
      <c r="B94" s="251" t="s">
        <v>80</v>
      </c>
      <c r="C94" s="251"/>
      <c r="D94" s="251"/>
      <c r="E94" s="251"/>
    </row>
    <row r="95" spans="2:12" ht="12" customHeight="1">
      <c r="B95" s="15" t="s">
        <v>94</v>
      </c>
      <c r="C95" s="15"/>
      <c r="D95" s="1"/>
      <c r="E95" s="1"/>
      <c r="F95" s="1"/>
    </row>
    <row r="96" spans="2:12" ht="12" customHeight="1">
      <c r="B96" s="111" t="s">
        <v>77</v>
      </c>
      <c r="C96" s="3"/>
      <c r="D96" t="str">
        <f>IF(AND(MID(D99,1,2)="残置",MID(D100,3,1)&lt;&gt;"Ⅰ"),"【注意】 残置アンカーは、防食Ⅰ限定です。EHDアンカーに変更してください。","")</f>
        <v/>
      </c>
      <c r="E96" s="1"/>
      <c r="F96" s="1"/>
      <c r="G96" s="8"/>
      <c r="H96" s="8"/>
      <c r="I96" s="102"/>
      <c r="J96" s="28"/>
    </row>
    <row r="97" spans="2:12" ht="12" customHeight="1">
      <c r="B97" s="15" t="s">
        <v>40</v>
      </c>
      <c r="C97" s="3"/>
      <c r="D97" s="1"/>
      <c r="E97" s="1"/>
      <c r="F97" s="1"/>
      <c r="G97" s="15" t="s">
        <v>54</v>
      </c>
      <c r="H97" s="15"/>
      <c r="I97" s="102"/>
      <c r="J97" s="28"/>
    </row>
    <row r="98" spans="2:12" ht="12" customHeight="1">
      <c r="B98" s="2" t="s">
        <v>53</v>
      </c>
      <c r="C98" s="2" t="s">
        <v>21</v>
      </c>
      <c r="D98" s="2" t="s">
        <v>22</v>
      </c>
      <c r="E98" s="2" t="s">
        <v>84</v>
      </c>
      <c r="F98" s="17"/>
      <c r="G98" s="2" t="s">
        <v>41</v>
      </c>
      <c r="H98" s="97" t="s">
        <v>59</v>
      </c>
      <c r="I98" s="49" t="s">
        <v>44</v>
      </c>
      <c r="J98" s="2" t="s">
        <v>21</v>
      </c>
      <c r="K98" s="49" t="s">
        <v>29</v>
      </c>
      <c r="L98" s="2" t="s">
        <v>28</v>
      </c>
    </row>
    <row r="99" spans="2:12" ht="12" customHeight="1">
      <c r="B99" s="51" t="s">
        <v>37</v>
      </c>
      <c r="C99" s="50" t="s">
        <v>38</v>
      </c>
      <c r="D99" s="70" t="s">
        <v>81</v>
      </c>
      <c r="E99" s="137" t="s">
        <v>71</v>
      </c>
      <c r="F99" s="17"/>
      <c r="G99" s="86" t="str">
        <f>IF(D111=0,"",G100)</f>
        <v/>
      </c>
      <c r="H99" s="87" t="str">
        <f>IF(D111=0,"",H101&amp;" (背面管部）")</f>
        <v/>
      </c>
      <c r="I99" s="88" t="str">
        <f>IF(D111=0,"",D112)</f>
        <v/>
      </c>
      <c r="J99" s="89" t="str">
        <f>IF(D111=0,"","m")</f>
        <v/>
      </c>
      <c r="K99" s="90" t="str">
        <f>IF(D111=0,"",D111)</f>
        <v/>
      </c>
      <c r="L99" s="29" t="str">
        <f>IF(D111=0,"",D104*K99)</f>
        <v/>
      </c>
    </row>
    <row r="100" spans="2:12" ht="12" customHeight="1">
      <c r="B100" s="52" t="s">
        <v>39</v>
      </c>
      <c r="C100" s="91" t="s">
        <v>38</v>
      </c>
      <c r="D100" s="71" t="s">
        <v>82</v>
      </c>
      <c r="E100" s="7"/>
      <c r="F100" s="17"/>
      <c r="G100" s="68" t="s">
        <v>43</v>
      </c>
      <c r="H100" s="68" t="s">
        <v>72</v>
      </c>
      <c r="I100" s="88" t="str" cm="1">
        <f t="array" ref="I100">_xlfn.IFS(AND(G100&lt;&gt;"非削孔",G100&lt;&gt;"無設定"),D114,G100="非削孔",IF(MID(B101,1,3)="土留め","非削孔","箱抜き"),G100="無設定","無設定")</f>
        <v>非削孔</v>
      </c>
      <c r="J100" s="23" t="str">
        <f>IF(G100="無設定","","m")</f>
        <v>m</v>
      </c>
      <c r="K100" s="69">
        <v>0.8</v>
      </c>
      <c r="L100" s="30">
        <f>D104*K100</f>
        <v>7.2</v>
      </c>
    </row>
    <row r="101" spans="2:12" ht="12" customHeight="1">
      <c r="B101" s="115" t="s">
        <v>70</v>
      </c>
      <c r="C101" s="91" t="s">
        <v>38</v>
      </c>
      <c r="D101" s="83" t="s">
        <v>52</v>
      </c>
      <c r="E101" s="139" t="str">
        <f>IF(OR(MID(B101,1,3)&lt;&gt;"土留め",D101="なし"),"","腹起し")</f>
        <v>腹起し</v>
      </c>
      <c r="F101" s="19"/>
      <c r="G101" s="68" t="s">
        <v>49</v>
      </c>
      <c r="H101" s="68" t="s">
        <v>68</v>
      </c>
      <c r="I101" s="88" cm="1">
        <f t="array" ref="I101">_xlfn.IFS(AND(G101&lt;&gt;"非削孔",G101&lt;&gt;"無設定"),D114,G101="非削孔","箱抜き",G101="無設定","無設定")</f>
        <v>115</v>
      </c>
      <c r="J101" s="23" t="str">
        <f t="shared" ref="J101:J109" si="2">IF(G101="無設定","","m")</f>
        <v>m</v>
      </c>
      <c r="K101" s="69">
        <v>11</v>
      </c>
      <c r="L101" s="30">
        <f>D104*K101</f>
        <v>99</v>
      </c>
    </row>
    <row r="102" spans="2:12" ht="12" customHeight="1">
      <c r="B102" s="114" t="str">
        <f>IF(OR(MID(B101,1,3)&lt;&gt;"土留め",D101="なし"),"",B101&amp;"の種類")</f>
        <v>土留め台座の種類</v>
      </c>
      <c r="C102" s="91" t="s">
        <v>38</v>
      </c>
      <c r="D102" s="113" t="s">
        <v>71</v>
      </c>
      <c r="E102" s="122" t="s">
        <v>67</v>
      </c>
      <c r="F102" s="21"/>
      <c r="G102" s="68" t="s">
        <v>48</v>
      </c>
      <c r="H102" s="68"/>
      <c r="I102" s="88" t="str" cm="1">
        <f t="array" ref="I102">_xlfn.IFS(AND(G102&lt;&gt;"非削孔",G102&lt;&gt;"無設定"),D114,G102="非削孔","箱抜き",G102="無設定","無設定")</f>
        <v>無設定</v>
      </c>
      <c r="J102" s="23" t="str">
        <f t="shared" si="2"/>
        <v/>
      </c>
      <c r="K102" s="69">
        <v>0</v>
      </c>
      <c r="L102" s="30">
        <f>D104*K102</f>
        <v>0</v>
      </c>
    </row>
    <row r="103" spans="2:12" ht="12" customHeight="1">
      <c r="B103" s="147" t="s">
        <v>50</v>
      </c>
      <c r="C103" s="91" t="s">
        <v>38</v>
      </c>
      <c r="D103" s="83" t="s">
        <v>51</v>
      </c>
      <c r="E103" s="19"/>
      <c r="F103" s="21"/>
      <c r="G103" s="68" t="s">
        <v>48</v>
      </c>
      <c r="H103" s="68"/>
      <c r="I103" s="88" t="str" cm="1">
        <f t="array" ref="I103">_xlfn.IFS(AND(G103&lt;&gt;"非削孔",G103&lt;&gt;"無設定"),D114,G103="非削孔","箱抜き",G103="無設定","無設定")</f>
        <v>無設定</v>
      </c>
      <c r="J103" s="23" t="str">
        <f t="shared" si="2"/>
        <v/>
      </c>
      <c r="K103" s="69">
        <v>0</v>
      </c>
      <c r="L103" s="30">
        <f>D104*K103</f>
        <v>0</v>
      </c>
    </row>
    <row r="104" spans="2:12" ht="12" customHeight="1">
      <c r="B104" s="22" t="s">
        <v>25</v>
      </c>
      <c r="C104" s="23" t="s">
        <v>24</v>
      </c>
      <c r="D104" s="92">
        <v>9</v>
      </c>
      <c r="E104" s="21"/>
      <c r="F104" s="21"/>
      <c r="G104" s="68" t="s">
        <v>48</v>
      </c>
      <c r="H104" s="68"/>
      <c r="I104" s="88" t="str" cm="1">
        <f t="array" ref="I104">_xlfn.IFS(AND(G104&lt;&gt;"非削孔",G104&lt;&gt;"無設定"),D114,G104="非削孔","箱抜き",G104="無設定","無設定")</f>
        <v>無設定</v>
      </c>
      <c r="J104" s="23" t="str">
        <f t="shared" si="2"/>
        <v/>
      </c>
      <c r="K104" s="69">
        <v>0</v>
      </c>
      <c r="L104" s="30">
        <f>D104*K104</f>
        <v>0</v>
      </c>
    </row>
    <row r="105" spans="2:12" ht="12" customHeight="1">
      <c r="B105" s="22" t="s">
        <v>108</v>
      </c>
      <c r="C105" s="23" t="s">
        <v>23</v>
      </c>
      <c r="D105" s="47">
        <v>6</v>
      </c>
      <c r="E105" s="21"/>
      <c r="F105" s="21"/>
      <c r="G105" s="68" t="s">
        <v>61</v>
      </c>
      <c r="H105" s="68"/>
      <c r="I105" s="88" t="str" cm="1">
        <f t="array" ref="I105">_xlfn.IFS(AND(G105&lt;&gt;"非削孔",G105&lt;&gt;"無設定"),D114,G105="非削孔","箱抜き",G105="無設定","無設定")</f>
        <v>無設定</v>
      </c>
      <c r="J105" s="23" t="str">
        <f t="shared" si="2"/>
        <v/>
      </c>
      <c r="K105" s="69">
        <v>0</v>
      </c>
      <c r="L105" s="30">
        <f>D104*K105</f>
        <v>0</v>
      </c>
    </row>
    <row r="106" spans="2:12" ht="12" customHeight="1">
      <c r="B106" s="22" t="s">
        <v>36</v>
      </c>
      <c r="C106" s="23" t="s">
        <v>23</v>
      </c>
      <c r="D106" s="47">
        <v>5</v>
      </c>
      <c r="E106" s="21"/>
      <c r="F106" s="21"/>
      <c r="G106" s="68" t="s">
        <v>48</v>
      </c>
      <c r="H106" s="68"/>
      <c r="I106" s="88" t="str" cm="1">
        <f t="array" ref="I106">_xlfn.IFS(AND(G106&lt;&gt;"非削孔",G106&lt;&gt;"無設定"),D114,G106="非削孔","箱抜き",G106="無設定","無設定")</f>
        <v>無設定</v>
      </c>
      <c r="J106" s="23" t="str">
        <f t="shared" si="2"/>
        <v/>
      </c>
      <c r="K106" s="69">
        <v>0</v>
      </c>
      <c r="L106" s="30">
        <f>D104*K106</f>
        <v>0</v>
      </c>
    </row>
    <row r="107" spans="2:12" ht="12" customHeight="1">
      <c r="B107" s="148" t="str" cm="1">
        <f t="array" ref="B107">"頭部自由長("&amp;_xlfn.IFS(AND(MID(B101,1,3)="土留め",D101="あり"),"腹起し+台座",AND(MID(B101,1,3)="土留め",D101="なし"),"台座なし",AND(MID(B101,1,3)="構造物",D101="あり"),"壁面台座",AND(MID(B101,1,3)="構造物",D101="なし"),"台座なし",AND(MID(B101,1,3)="のり面",D101="あり"),"角度台座＋受圧体",AND(MID(B101,1,3)="のり面",D101="なし"),"受圧体")&amp;")　"&amp;"Lfh"</f>
        <v>頭部自由長(腹起し+台座)　Lfh</v>
      </c>
      <c r="C107" s="23" t="s">
        <v>23</v>
      </c>
      <c r="D107" s="47">
        <v>0.8</v>
      </c>
      <c r="E107" s="21"/>
      <c r="F107" s="21"/>
      <c r="G107" s="68" t="s">
        <v>48</v>
      </c>
      <c r="H107" s="68"/>
      <c r="I107" s="88" t="str" cm="1">
        <f t="array" ref="I107">_xlfn.IFS(AND(G107&lt;&gt;"非削孔",G107&lt;&gt;"無設定"),D114,G107="非削孔","箱抜き",G107="無設定","無設定")</f>
        <v>無設定</v>
      </c>
      <c r="J107" s="23" t="str">
        <f t="shared" si="2"/>
        <v/>
      </c>
      <c r="K107" s="69">
        <v>0</v>
      </c>
      <c r="L107" s="30">
        <f>D104*K107</f>
        <v>0</v>
      </c>
    </row>
    <row r="108" spans="2:12" ht="12" customHeight="1">
      <c r="B108" s="146" t="s">
        <v>69</v>
      </c>
      <c r="C108" s="23" t="s">
        <v>23</v>
      </c>
      <c r="D108" s="24">
        <f>IF(D99="　","──",IF(MID(D99,6,2)*IF(MID(D99,4,1)="5",183,261)*IF(MID(D100,3,1)="Ⅰ",0.65,0.6)*IF(MID(D99,1,2)="除去",0.9,1)&lt;=700,1,1.5))</f>
        <v>1</v>
      </c>
      <c r="E108" s="120"/>
      <c r="G108" s="68" t="s">
        <v>48</v>
      </c>
      <c r="H108" s="68"/>
      <c r="I108" s="88" t="str" cm="1">
        <f t="array" ref="I108">_xlfn.IFS(AND(G108&lt;&gt;"非削孔",G108&lt;&gt;"無設定"),D114,G108="非削孔","箱抜き",G108="無設定","無設定")</f>
        <v>無設定</v>
      </c>
      <c r="J108" s="23" t="str">
        <f t="shared" si="2"/>
        <v/>
      </c>
      <c r="K108" s="69">
        <v>0</v>
      </c>
      <c r="L108" s="30">
        <f>D104*K108</f>
        <v>0</v>
      </c>
    </row>
    <row r="109" spans="2:12" ht="12" customHeight="1">
      <c r="B109" s="6" t="s">
        <v>109</v>
      </c>
      <c r="C109" s="23" t="s">
        <v>23</v>
      </c>
      <c r="D109" s="60">
        <f>IF(D99="　","──",SUM(D105:D108))</f>
        <v>12.8</v>
      </c>
      <c r="E109" s="121"/>
      <c r="F109" s="19"/>
      <c r="G109" s="99" t="str" cm="1">
        <f t="array" ref="G109">INDEX(G100:I108,MATCH("無設定",G100:G108,0)-1,MATCH(G98,G98:I98,0))</f>
        <v>軟　岩</v>
      </c>
      <c r="H109" s="100" t="str" cm="1">
        <f t="array" ref="H109">INDEX(G100:I108,MATCH("無設定",G100:G108,0)-1,MATCH(H98,G98:I98,0))&amp;"　(先端削孔長)"</f>
        <v>CL～CM　(先端削孔長)</v>
      </c>
      <c r="I109" s="88" cm="1">
        <f t="array" ref="I109">INDEX(G100:I108,MATCH("無設定",G100:G108,0)-1,MATCH(I98,G98:I98,0))</f>
        <v>115</v>
      </c>
      <c r="J109" s="23" t="str">
        <f t="shared" si="2"/>
        <v>m</v>
      </c>
      <c r="K109" s="98">
        <f>D113</f>
        <v>0.25</v>
      </c>
      <c r="L109" s="78">
        <f>IFERROR(D104*K109,"")</f>
        <v>2.25</v>
      </c>
    </row>
    <row r="110" spans="2:12" ht="12" customHeight="1">
      <c r="B110" s="22" t="s">
        <v>75</v>
      </c>
      <c r="C110" s="23" t="s">
        <v>35</v>
      </c>
      <c r="D110" s="84">
        <f>IF(D99="　","──",IF(MID(D99,1,2)="除去",0,0.2))</f>
        <v>0.2</v>
      </c>
      <c r="E110" s="123"/>
      <c r="F110" s="19"/>
      <c r="G110" s="72"/>
      <c r="H110" s="75" t="s">
        <v>45</v>
      </c>
      <c r="I110" s="103"/>
      <c r="J110" s="18" t="s">
        <v>23</v>
      </c>
      <c r="K110" s="74">
        <f>SUMIFS(K99:K109,G99:G109,"&lt;&gt;非削孔",G99:G109,"&lt;&gt;無設定")</f>
        <v>11.25</v>
      </c>
      <c r="L110" s="95">
        <f>SUMIFS(L99:L109,G99:G109,"&lt;&gt;非削孔",G99:G109,"&lt;&gt;無設定")</f>
        <v>101.25</v>
      </c>
    </row>
    <row r="111" spans="2:12" ht="12" customHeight="1">
      <c r="B111" s="22" t="s">
        <v>73</v>
      </c>
      <c r="C111" s="23" t="s">
        <v>35</v>
      </c>
      <c r="D111" s="85">
        <v>0</v>
      </c>
      <c r="E111" s="123"/>
      <c r="F111" s="19"/>
      <c r="G111" s="73"/>
      <c r="H111" s="76" t="s">
        <v>47</v>
      </c>
      <c r="I111" s="104"/>
      <c r="J111" s="79" t="s">
        <v>46</v>
      </c>
      <c r="K111" s="77" t="str">
        <f>IF(D99="　","",IF(SUM(D105:D107,D111,D113)=K110+SUMIFS(K99:K109,G99:G109,"=非削孔"),"OK","NG"))</f>
        <v>OK</v>
      </c>
      <c r="L111" s="145" t="str">
        <f>IF(K111&lt;&gt;"NG","──",K110+SUMIFS(K99:K109,G99:G109,"=非削孔")-SUM(D105:D107,D111,D113))</f>
        <v>──</v>
      </c>
    </row>
    <row r="112" spans="2:12" ht="12" customHeight="1">
      <c r="B112" s="22" t="str">
        <f>IF(D99="　","",IF(D111=0,"","頭部背面管削孔径　Dh"))</f>
        <v/>
      </c>
      <c r="C112" s="23" t="str">
        <f>IF(D99="　","",IF(D111=0,"","mm"))</f>
        <v/>
      </c>
      <c r="D112" s="93" t="str" cm="1">
        <f t="array" ref="D112">IF(D99="　","",IF(D111=0,"",IF(MID(D99,4,1)="5",_xlfn.IFS(VALUE(MID(D99,6,2))&lt;7,115,VALUE(MID(D99,6,2))&gt;6,135),"未設定")))</f>
        <v/>
      </c>
      <c r="E112" s="121"/>
      <c r="F112" s="19"/>
      <c r="G112" s="94" t="s">
        <v>58</v>
      </c>
      <c r="H112" s="252" t="s">
        <v>62</v>
      </c>
      <c r="I112" s="253"/>
      <c r="J112" s="253"/>
      <c r="K112" s="253"/>
      <c r="L112" s="254"/>
    </row>
    <row r="113" spans="2:12" ht="12" customHeight="1">
      <c r="B113" s="25" t="s">
        <v>74</v>
      </c>
      <c r="C113" s="26" t="s">
        <v>23</v>
      </c>
      <c r="D113" s="27">
        <f>IF(MID(D99,1,2)="残置",0.25,0.2)</f>
        <v>0.25</v>
      </c>
      <c r="E113" s="117"/>
      <c r="F113" s="1"/>
      <c r="G113" s="8"/>
      <c r="H113" s="8"/>
      <c r="I113" s="102"/>
    </row>
    <row r="114" spans="2:12" ht="12" customHeight="1">
      <c r="B114" s="25" t="s">
        <v>57</v>
      </c>
      <c r="C114" s="26" t="s">
        <v>32</v>
      </c>
      <c r="D114" s="82" cm="1">
        <f t="array" ref="D114">IF(D99="　","──",IF(E114="　",_xlfn.IFS(MID(D99,1,2)="除去",IF(MID(D99,4,1)="5",135,165),MID(D99,1,2)="残置",IF(MID(D99,4,1)="5",IF(VALUE(MID(D99,6,2))&lt;8,115,135),IF(VALUE(MID(D99,6,2))&lt;10,146,165))),E114))</f>
        <v>115</v>
      </c>
      <c r="E114" s="142" t="s">
        <v>71</v>
      </c>
      <c r="F114" s="1"/>
      <c r="G114" s="8"/>
      <c r="H114" s="8"/>
      <c r="I114" s="102"/>
    </row>
    <row r="115" spans="2:12" ht="12" customHeight="1">
      <c r="F115" s="1"/>
      <c r="G115" s="8"/>
      <c r="H115" s="8"/>
      <c r="I115" s="102"/>
    </row>
    <row r="116" spans="2:12" ht="12" customHeight="1">
      <c r="B116" s="15" t="str">
        <f>"■"&amp;MID(B94,2,17)</f>
        <v>■短期仮設：KJS残置アンカー数量表</v>
      </c>
      <c r="C116" s="3"/>
      <c r="D116" s="1"/>
      <c r="E116" s="1"/>
      <c r="F116" s="1"/>
      <c r="G116" s="8"/>
      <c r="H116" s="8"/>
      <c r="I116" s="102"/>
    </row>
    <row r="117" spans="2:12" ht="12" customHeight="1">
      <c r="B117" s="2" t="s">
        <v>17</v>
      </c>
      <c r="C117" s="43"/>
      <c r="D117" s="134"/>
      <c r="E117" s="61" t="s">
        <v>78</v>
      </c>
      <c r="F117" s="135"/>
      <c r="G117" s="16"/>
      <c r="H117" s="61" t="s">
        <v>42</v>
      </c>
      <c r="I117" s="97"/>
      <c r="J117" s="2" t="s">
        <v>21</v>
      </c>
      <c r="K117" s="49" t="s">
        <v>29</v>
      </c>
      <c r="L117" s="2" t="s">
        <v>28</v>
      </c>
    </row>
    <row r="118" spans="2:12" ht="12" customHeight="1">
      <c r="B118" s="4" t="str">
        <f>IF(MID(D99,1,2)="除去","アンボンド","")&amp;"PCストランド"</f>
        <v>PCストランド</v>
      </c>
      <c r="C118" s="39" t="str">
        <f>IF(D99="　","",D99&amp;"("&amp;MID(D99,6,2)&amp;IF(MID(D99,4,1)="5","φ12.7","φ15.2")&amp;")")</f>
        <v>残置J5-5(5φ12.7)</v>
      </c>
      <c r="D118" s="32"/>
      <c r="E118" s="32"/>
      <c r="F118" s="33"/>
      <c r="G118" s="143" t="str">
        <f>"W="&amp;IF(MID(D99,1,2)="除去","(ﾃﾝﾄﾞﾝ長+ｱﾝｶｰ体長×(1/鋼線本数-0.5))","(テンドン長+先端長0.2m)")&amp;"×鋼線本数×"&amp;IF(MID(D99,4,1)="5","0.774","1.101")&amp;"kg/m"</f>
        <v>W=(テンドン長+先端長0.2m)×鋼線本数×0.774kg/m</v>
      </c>
      <c r="H118" s="62"/>
      <c r="I118" s="105"/>
      <c r="J118" s="5" t="s">
        <v>11</v>
      </c>
      <c r="K118" s="29">
        <f>IF(D99="　","",MROUND(IF(MID(D99,1,2)="除去",D109+D106*(1/MID(D99,6,2)-0.5),D109+D110)*MID(D99,6,2)*IF(MID(D99,4,1)="5","0.774","1.101"),0.01))</f>
        <v>50.31</v>
      </c>
      <c r="L118" s="29">
        <f>IFERROR(D104*K118,"")</f>
        <v>452.79</v>
      </c>
    </row>
    <row r="119" spans="2:12" ht="12" customHeight="1">
      <c r="B119" s="6" t="s">
        <v>20</v>
      </c>
      <c r="C119" s="34"/>
      <c r="D119" s="35"/>
      <c r="E119" s="35"/>
      <c r="F119" s="36"/>
      <c r="G119" s="56" t="str">
        <f>"L=テンドン長"&amp;IF(MID(D99,1,2)="除去","+アンカー体長×(1/鋼線本数-0.5))","")</f>
        <v>L=テンドン長</v>
      </c>
      <c r="H119" s="63"/>
      <c r="I119" s="106"/>
      <c r="J119" s="7" t="s">
        <v>12</v>
      </c>
      <c r="K119" s="30">
        <f>IF(D99="　","",MROUND(D109+IF(MID(D99,1,2)="除去",D106*(1/MID(D99,6,2)-0.5),0),0.1))</f>
        <v>12.8</v>
      </c>
      <c r="L119" s="30">
        <f>IFERROR(D104*K119,"")</f>
        <v>115.2</v>
      </c>
    </row>
    <row r="120" spans="2:12" ht="12" customHeight="1">
      <c r="B120" s="6" t="str">
        <f>IF(MID(D99,1,2)="除去","耐荷体","注入ホース")</f>
        <v>注入ホース</v>
      </c>
      <c r="C120" s="34" t="str" cm="1">
        <f t="array" ref="C120">IF(D99="　","",IF(MID(D99,1,2)="除去",IF(MID(D99,1,2)="除去",MID(D99,3,2)&amp;"用Bタイプ、FCD450相当"&amp;_xlfn.IFS(MID(D100,3,1)="Ⅰ","",MID(D100,3,1)="Ⅱ","、亜鉛めっき処理",MID(D100,3,1)="Ⅲ","、ｱﾙﾐﾅｲｽﾞ処理"),""),"1/2″"))</f>
        <v>1/2″</v>
      </c>
      <c r="D120" s="35"/>
      <c r="E120" s="35"/>
      <c r="F120" s="36"/>
      <c r="G120" s="127" t="str">
        <f>IF(MID(D99,1,2)="除去","N="&amp;0.5*MID(D99,6,2),"L=テンドン長")</f>
        <v>L=テンドン長</v>
      </c>
      <c r="H120" s="63"/>
      <c r="I120" s="106"/>
      <c r="J120" s="7" t="str">
        <f>IF(MID(D99,1,2)="除去","個","m")</f>
        <v>m</v>
      </c>
      <c r="K120" s="130">
        <f>IF(D99="　","",IF(MID(D99,1,2)="除去",MID(G120,3,2),MROUND(D109,0.1)))</f>
        <v>12.8</v>
      </c>
      <c r="L120" s="30">
        <f>IFERROR(D104*K120,"")</f>
        <v>115.2</v>
      </c>
    </row>
    <row r="121" spans="2:12" ht="12" customHeight="1">
      <c r="B121" s="109" t="str">
        <f>IF(MID(D99,1,2)="除去","結束テープ","パイロットキャップ")</f>
        <v>パイロットキャップ</v>
      </c>
      <c r="C121" s="34" t="str" cm="1">
        <f t="array" ref="C121">IF(D99="　","",IF(MID(D99,1,2)="除去","","Ｊ"&amp;IF(MID(D99,4,1)="5",_xlfn.IFS(VALUE(MID(D99,6,2))&lt;5,"5-4",VALUE(MID(D99,6,2))&lt;8,"5-7",VALUE(MID(D99,6,2))&lt;10,"5-9",VALUE(MID(D99,6,2))&gt;9,"5-12"),_xlfn.IFS(VALUE(MID(D99,6,2))&lt;10,"6-9",VALUE(MID(D99,6,2))&lt;13,"6-12",VALUE(MID(D99,6,2))&gt;12,"6-19"))&amp;"用、"&amp;IF(AND(MID(D99,4,1)="6",VALUE(MID(D99,6,2))&gt;9),"AC2A","ポリプロピレン")))</f>
        <v>Ｊ5-7用、ポリプロピレン</v>
      </c>
      <c r="D121" s="35"/>
      <c r="E121" s="35"/>
      <c r="F121" s="36"/>
      <c r="G121" s="52" t="str">
        <f>IF(MID(D99,1,2)="除去","L=(自由長+頭部自由長+緊張余長)÷2.0mピッチ","N=1")</f>
        <v>N=1</v>
      </c>
      <c r="H121" s="110"/>
      <c r="I121" s="53"/>
      <c r="J121" s="7" t="str">
        <f>IF(MID(D99,1,2)="除去","m","個")</f>
        <v>個</v>
      </c>
      <c r="K121" s="130" t="str">
        <f>IF(D99="　","",IF(MID(D99,1,2)="除去",MROUND(SUM(D105,D107:D108)/2,0.01),MID(G121,3,2)))</f>
        <v>1</v>
      </c>
      <c r="L121" s="30">
        <f>IFERROR(D104*K121,"")</f>
        <v>9</v>
      </c>
    </row>
    <row r="122" spans="2:12" ht="12" customHeight="1">
      <c r="B122" s="109" t="str">
        <f>IF(MID(D99,1,2)="除去",IF(D100="防食Ⅰ","アンカープレート","溝付アンカープレート"),"スペーサ")</f>
        <v>スペーサ</v>
      </c>
      <c r="C122" s="96" t="str" cm="1">
        <f t="array" ref="C122">IF(D99="　","",_xlfn.SINGLE(IF(MID(D99,1,2)="除去","J"&amp;_xlfn.SINGLE(IF(MID(D99,4,1)="5",_xlfn.IFS(VALUE(MID(D99,6,2))&lt;3,"5-2",VALUE(MID(D99,6,2))&lt;5,"5-4",VALUE(MID(D99,6,2))&lt;7,"5-7",VALUE(MID(D99,6,2))&lt;10,"5-9",VALUE(MID(D99,6,2))&gt;9,"5-12"),_xlfn.IFS(VALUE(MID(D99,6,2))&lt;13,"6-12")))&amp;"用、"&amp;IF(D100="防食Ⅰ","SS400相当","SS400・STKM13A相当、防食：")&amp;_xlfn.IFS(D100="防食Ⅰ","無処理",D100="防食Ⅱ","亜鉛めっき処理",D100="防食Ⅲ","ｱﾙﾐﾅｲｽﾞ処理"),"J"&amp;IF(MID(D99,4,1)="5",_xlfn.IFS(VALUE(MID(D99,6,2))&lt;8,"5-7",VALUE(MID(D99,6,2))&gt;7,"5-12"),_xlfn.IFS(VALUE(MID(D99,6,2))&lt;8,"6-7",VALUE(MID(D99,6,2))&lt;13,"6-12",VALUE(MID(D99,6,2))&gt;12,"6-19"))&amp;"用、"&amp;IF(AND(MID(D99,4,1)="6",VALUE(MID(D99,6,2))&gt;9),"AC2B","ポリプロピレン"))))</f>
        <v>J5-7用、ポリプロピレン</v>
      </c>
      <c r="D122" s="35"/>
      <c r="E122" s="35"/>
      <c r="F122" s="36"/>
      <c r="G122" s="127" t="str">
        <f>IF(MID(D99,1,2)="除去","N=1","N=アンカー体÷1.0mピッチ")</f>
        <v>N=アンカー体÷1.0mピッチ</v>
      </c>
      <c r="H122" s="63"/>
      <c r="I122" s="106"/>
      <c r="J122" s="7" t="str">
        <f>IF(MID(D99,1,2)="除去","枚","m")</f>
        <v>m</v>
      </c>
      <c r="K122" s="130">
        <f>IF(D99="　","",IF(D99="　","",IF(MID(D99,1,2)="除去",MID(G122,3,2),MROUND(D106/1,1))))</f>
        <v>5</v>
      </c>
      <c r="L122" s="30">
        <f>IFERROR(D104*K122,"")</f>
        <v>45</v>
      </c>
    </row>
    <row r="123" spans="2:12" ht="12" customHeight="1">
      <c r="B123" s="109" t="str">
        <f>IF(MID(D99,1,2)="除去","アンカーヘッド","結束バンド")</f>
        <v>結束バンド</v>
      </c>
      <c r="C123" s="34" t="str">
        <f>IF(D99="　","",IF(MID(D99,1,2)="除去","J"&amp;IF(MID(D99,4,1)="5",_xlfn.IFS(VALUE(MID(D99,6,2))&lt;3,"5-2",VALUE(MID(D99,6,2))&lt;4,"5-3",VALUE(MID(D99,6,2))&lt;5,"5-4",VALUE(MID(D99,6,2))&lt;8,"5-7",VALUE(MID(D99,6,2))&lt;10,"5-9",VALUE(MID(D99,6,2))&gt;9,"5-12"),_xlfn.IFS(VALUE(MID(D99,6,2))&lt;8,"6-7",VALUE(MID(D99,6,2))&gt;7,"6-12"))&amp;"用、S45C相当","AB350、66ナイロン"))</f>
        <v>AB350、66ナイロン</v>
      </c>
      <c r="D123" s="35"/>
      <c r="E123" s="35"/>
      <c r="F123" s="36"/>
      <c r="G123" s="127" t="str">
        <f>IF(MID(D99,1,2)="除去","N=1","N=スペーサ数×2")</f>
        <v>N=スペーサ数×2</v>
      </c>
      <c r="H123" s="63"/>
      <c r="I123" s="106"/>
      <c r="J123" s="7" t="str">
        <f>IF(MID(D99,1,2)="除去","個","本")</f>
        <v>本</v>
      </c>
      <c r="K123" s="130">
        <f>IF(D99="　","",IF(MID(D99,1,2)="除去",MID(G123,3,2),2*K122))</f>
        <v>10</v>
      </c>
      <c r="L123" s="30">
        <f>IFERROR(D104*K123,"")</f>
        <v>90</v>
      </c>
    </row>
    <row r="124" spans="2:12" ht="12" customHeight="1">
      <c r="B124" s="6" t="str">
        <f>IF(MID(D99,1,2)="除去","くさび","ポリホース")</f>
        <v>ポリホース</v>
      </c>
      <c r="C124" s="34" t="str">
        <f>IF(D99="　","",IF(MID(D99,1,2)="除去",MID(D99,3,5)&amp;"用、"&amp;IF(MID(D99,4,1)="5","φ12.7","φ15.2")&amp;"、SCM415相当","1-1/2″"))</f>
        <v>1-1/2″</v>
      </c>
      <c r="D124" s="35"/>
      <c r="E124" s="35"/>
      <c r="F124" s="36"/>
      <c r="G124" s="127" t="str">
        <f>IF(MID(D99,1,2)="除去","N="&amp;MID(D99,6,2),"L=自由長-0.5m")</f>
        <v>L=自由長-0.5m</v>
      </c>
      <c r="H124" s="63"/>
      <c r="I124" s="106"/>
      <c r="J124" s="7" t="str">
        <f>IF(MID(D99,1,2)="除去","組","m")</f>
        <v>m</v>
      </c>
      <c r="K124" s="130">
        <f>IF(D99="　","",IF(MID(D99,1,2)="除去",MID(G124,3,2),D105+D107-0.5))</f>
        <v>6.3</v>
      </c>
      <c r="L124" s="30">
        <f>IFERROR(D104*K124,"")</f>
        <v>56.699999999999996</v>
      </c>
    </row>
    <row r="125" spans="2:12" ht="12" customHeight="1">
      <c r="B125" s="6" t="str">
        <f>IF(MID(D99,1,2)="除去",IF(D100="防食Ⅰ","","ヘッドキャップ"),"アンカープレート")</f>
        <v>アンカープレート</v>
      </c>
      <c r="C125" s="96" t="str" cm="1">
        <f t="array" ref="C125">IF(D99="　","",IF(MID(D99,1,2)="除去",IF(D100="防食Ⅰ","","J"&amp;_xlfn.SINGLE(IF(MID(D99,4,1)="5",_xlfn.IFS(VALUE(MID(D99,6,2))&lt;5,"5-4",VALUE(MID(D99,6,2))&lt;8,"5-7",VALUE(MID(D99,6,2))&gt;7,"5-12"),"未設定"))&amp;"RN用、AC4C相当"&amp;IF(D100="防食Ⅱ","","、防食：タケコート処理")),"J"&amp;_xlfn.SINGLE(IF(MID(D99,4,1)="5",_xlfn.IFS(VALUE(MID(D99,6,2))&lt;3,"5-2",VALUE(MID(D99,6,2))&lt;5,"5-4",VALUE(MID(D99,6,2))&lt;7,"5-7",VALUE(MID(D99,6,2))&lt;10,"5-9",VALUE(MID(D99,6,2))&gt;9,"5-12"),_xlfn.IFS(VALUE(MID(D99,6,2))&lt;13,"6-12")))&amp;"用、"&amp;IF(D100="防食Ⅰ","SS400相当","SS400・STKM13A相当、防食：")&amp;_xlfn.IFS(D100="防食Ⅰ","、防食：無処理",D100="防食Ⅱ","、防食：亜鉛めっき",D100="防食Ⅲ","、防食：ｱﾙﾐﾅｲｽﾞ")))</f>
        <v>J5-7用、SS400相当、防食：無処理</v>
      </c>
      <c r="D125" s="44"/>
      <c r="E125" s="44"/>
      <c r="F125" s="45"/>
      <c r="G125" s="52" t="str">
        <f>IF(MID(D99,1,2)="除去","N="&amp;IF(D100="防食Ⅰ","",1),"N=1")</f>
        <v>N=1</v>
      </c>
      <c r="H125" s="64"/>
      <c r="I125" s="53"/>
      <c r="J125" s="7" t="str">
        <f>IF(MID(D99,1,2)="除去",IF(D100="防食Ⅰ","","個"),"枚")</f>
        <v>枚</v>
      </c>
      <c r="K125" s="130" t="str">
        <f>IF(D99="　","",IF(MID(D99,1,2)="除去",MID(G125,3,2),MID(G125,3,2)))</f>
        <v>1</v>
      </c>
      <c r="L125" s="30">
        <f>IFERROR(D104*K125,"")</f>
        <v>9</v>
      </c>
    </row>
    <row r="126" spans="2:12" ht="12" customHeight="1">
      <c r="B126" s="6" t="str">
        <f>IF(MID(D99,1,2)="除去",IF(D100="防食Ⅰ","","頭部防錆油"),"アンカーヘッド")</f>
        <v>アンカーヘッド</v>
      </c>
      <c r="C126" s="34" t="str">
        <f>IF(D99="　","",IF(MID(D99,1,2)="除去",IF(D100="防食Ⅰ","","PCコートC"),"J"&amp;IF(MID(D99,4,1)="5",_xlfn.IFS(VALUE(MID(D99,6,2))&lt;3,"5-2",VALUE(MID(D99,6,2))&lt;4,"5-3",VALUE(MID(D99,6,2))&lt;5,"5-4",VALUE(MID(D99,6,2))&lt;8,"5-7",VALUE(MID(D99,6,2))&lt;10,"5-9",VALUE(MID(D99,6,2))&gt;9,"5-12"),_xlfn.IFS(VALUE(MID(D99,6,2))&lt;8,"6-7",VALUE(MID(D99,6,2))&gt;7,"6-12"))&amp;"用、S45C相当"))</f>
        <v>J5-7用、S45C相当</v>
      </c>
      <c r="D126" s="35"/>
      <c r="E126" s="35"/>
      <c r="F126" s="36"/>
      <c r="G126" s="52" t="str">
        <f>IF(MID(D99,1,2)="除去","W="&amp;IF(D100="防食Ⅰ","",IF(MID(D99,4,1)="5",_xlfn.IFS(VALUE(MID(D99,6,2))&lt;4,1.8,VALUE(MID(D99,6,2))&lt;5,2,VALUE(MID(D99,6,2))&lt;8,2.7,VALUE(MID(D99,6,2))&gt;7,5),_xlfn.IFS(VALUE(MID(D99,6,2))=1,1.8,VALUE(MID(D99,6,2))&lt;3,2,VALUE(MID(D99,6,2))&lt;5,2.7,VALUE(MID(D99,6,2))&lt;8,5,VALUE(MID(D99,6,2))&gt;7,12.3))),"N=1")</f>
        <v>N=1</v>
      </c>
      <c r="H126" s="64"/>
      <c r="I126" s="53"/>
      <c r="J126" s="7" t="str">
        <f>IF(MID(D99,1,2)="除去",IF(D100="防食Ⅰ","","kg"),"個")</f>
        <v>個</v>
      </c>
      <c r="K126" s="130" t="str">
        <f>IF(D99="　","",IF(MID(D99,1,2)="除去",MID(G126,3,4),MID(G126,3,2)))</f>
        <v>1</v>
      </c>
      <c r="L126" s="30">
        <f>IFERROR(D104*K126,"")</f>
        <v>9</v>
      </c>
    </row>
    <row r="127" spans="2:12" ht="12" customHeight="1">
      <c r="B127" s="6" t="str">
        <f>IF(MID(D99,1,2)="除去",IF(D100="防食Ⅰ","","止水具スペーサ"),"くさび")</f>
        <v>くさび</v>
      </c>
      <c r="C127" s="34" t="str">
        <f>IF(D99="　","",IF(MID(D99,1,2)="除去",IF(D100="防食Ⅰ","",MID(D99,3,5)&amp;"用、NBR45相当"),MID(D99,3,5)&amp;"用、"&amp;IF(MID(D99,4,1)="5","φ12.7","φ15.2")&amp;"、SCM415相当"))</f>
        <v>J5-5用、φ12.7、SCM415相当</v>
      </c>
      <c r="D127" s="35"/>
      <c r="E127" s="35"/>
      <c r="F127" s="36"/>
      <c r="G127" s="52" t="str">
        <f>IF(D99="　","",IF(MID(D99,1,2)="除去","N="&amp;IF(D100="防食Ⅰ","",1),"N="&amp;MID(D99,6,2)))</f>
        <v>N=5</v>
      </c>
      <c r="H127" s="64"/>
      <c r="I127" s="53"/>
      <c r="J127" s="7" t="str">
        <f>IF(MID(D99,1,2)="除去",IF(D100="防食Ⅰ","","個"),"組")</f>
        <v>組</v>
      </c>
      <c r="K127" s="130" t="str">
        <f>IF(D99="　","",IF(MID(D99,1,2)="除去",MID(G127,3,2),MID(G127,3,2)))</f>
        <v>5</v>
      </c>
      <c r="L127" s="30">
        <f>IFERROR(D104*K127,"")</f>
        <v>45</v>
      </c>
    </row>
    <row r="128" spans="2:12" ht="12" customHeight="1">
      <c r="B128" s="6" t="str">
        <f>IF(MID(D99,1,2)="除去",IF(D100="防食Ⅰ","","配列スペーサ"),"サンタックシーラー")</f>
        <v>サンタックシーラー</v>
      </c>
      <c r="C128" s="34" t="str">
        <f>IF(D99="　","",IF(MID(D99,1,2)="除去",IF(D100="防食Ⅰ","","J"&amp;IF(MID(D99,4,1)="5",_xlfn.IFS(VALUE(MID(D99,6,2))=3,"5-3",VALUE(MID(D99,6,2))&lt;5,"5-4",VALUE(MID(D99,6,2))&lt;8,"5-7",VALUE(MID(D99,6,2))&gt;7,"5-12"),_xlfn.IFS(VALUE(MID(D99,6,2))=3,"6-3",VALUE(MID(D99,6,2))&lt;5,"6-4",VALUE(MID(D99,6,2))&lt;8,"6-7",VALUE(MID(D99,6,2))&gt;7,"6-12"))&amp;"用、ポリエチレン"),""))</f>
        <v/>
      </c>
      <c r="D128" s="35"/>
      <c r="E128" s="35"/>
      <c r="F128" s="36"/>
      <c r="G128" s="52" t="str" cm="1">
        <f t="array" ref="G128">IF(D99="　","",IF(MID(D99,1,2)="除去","N="&amp;IF(D100="防食Ⅰ","",1),"N="&amp;IF(MID(D99,4,1)="5",_xlfn.IFS(VALUE(MID(D99,6,2))&lt;5,0.03,VALUE(MID(D99,6,2))&lt;8,0.04,VALUE(MID(D99,6,2))&lt;13,0.06),_xlfn.IFS(VALUE(MID(D99,6,2))&lt;4,0.03,VALUE(MID(D99,6,2))&lt;6,0.04,VALUE(MID(D99,6,2))&lt;9,0.06,VALUE(MID(D99,6,2))&gt;8,0.09))&amp;"巻/本"))</f>
        <v>N=0.04巻/本</v>
      </c>
      <c r="H128" s="64"/>
      <c r="I128" s="53"/>
      <c r="J128" s="7" t="str">
        <f>IF(MID(D99,1,2)="除去",IF(D100="防食Ⅰ","","個"),"巻")</f>
        <v>巻</v>
      </c>
      <c r="K128" s="130" t="str">
        <f>IF(D99="　","",IF(MID(D99,1,2)="除去",MID(G128,3,2),MID(G128,3,4)))</f>
        <v>0.04</v>
      </c>
      <c r="L128" s="30">
        <f>IFERROR(D104*K128,"")</f>
        <v>0.36</v>
      </c>
    </row>
    <row r="129" spans="2:12" ht="12" customHeight="1">
      <c r="B129" s="6" t="str">
        <f>IF(MID(D99,1,2)="除去","","結束テープ")</f>
        <v>結束テープ</v>
      </c>
      <c r="C129" s="34" t="str">
        <f>IF(D99="　","",IF(MID(D99,1,2)="除去","",""))</f>
        <v/>
      </c>
      <c r="D129" s="35"/>
      <c r="E129" s="35"/>
      <c r="F129" s="36"/>
      <c r="G129" s="52" t="str" cm="1">
        <f t="array" ref="G129">IF(D99="　","",IF(MID(D99,1,2)="除去","","L=(自由長+緊張余長)×係数"&amp;IF(MID(D99,4,1)="5",_xlfn.IFS(VALUE(MID(D99,6,2))&lt;5,"1.0",VALUE(MID(D99,6,2))&lt;8,"1.1",VALUE(MID(D99,6,2))&lt;13,"1.2"),_xlfn.IFS(VALUE(MID(D99,6,2))&lt;4,"1.0",VALUE(MID(D99,6,2))&lt;6,"1.1",VALUE(MID(D99,6,2))&lt;9,"1.2",VALUE(MID(D99,6,2))&gt;8,"1.4"))))</f>
        <v>L=(自由長+緊張余長)×係数1.1</v>
      </c>
      <c r="H129" s="64"/>
      <c r="I129" s="53"/>
      <c r="J129" s="7" t="str">
        <f>IF(MID(D99,1,2)="除去","","m")</f>
        <v>m</v>
      </c>
      <c r="K129" s="6">
        <f>IF(D99="　","",IF(MID(D99,1,2)="除去","",MROUND(SUM(D105,D107:D108)*RIGHT(G129,3),0.1)))</f>
        <v>8.6</v>
      </c>
      <c r="L129" s="30">
        <f>IFERROR(D104*K129,"")</f>
        <v>77.399999999999991</v>
      </c>
    </row>
    <row r="130" spans="2:12" ht="12" customHeight="1">
      <c r="B130" s="126" t="str">
        <f>IF(MID(D99,1,2)="除去","","防錆材")</f>
        <v>防錆材</v>
      </c>
      <c r="C130" s="126" t="str">
        <f>IF(D99="　","",IF(MID(D99,1,2)="除去","","自由長部塗布"))</f>
        <v>自由長部塗布</v>
      </c>
      <c r="D130" s="35"/>
      <c r="E130" s="35"/>
      <c r="F130" s="35"/>
      <c r="G130" s="128" t="str">
        <f>IF(MID(D99,1,2)="除去","","W=(自由長-0.5m)×鋼線本数×0.0646kg")</f>
        <v>W=(自由長-0.5m)×鋼線本数×0.0646kg</v>
      </c>
      <c r="H130" s="35"/>
      <c r="I130" s="125"/>
      <c r="J130" s="48" t="str">
        <f>IF(MID(D99,1,2)="除去","","kg")</f>
        <v>kg</v>
      </c>
      <c r="K130" s="6">
        <f>IF(D99="　","",IF(MID(D99,1,2)="除去","",MROUND((D105+D107-0.5)*MID(D99,6,2)*0.0646,0.1)))</f>
        <v>2</v>
      </c>
      <c r="L130" s="30">
        <f>IFERROR(D104*K130,"")</f>
        <v>18</v>
      </c>
    </row>
    <row r="131" spans="2:12" ht="12" customHeight="1">
      <c r="B131" s="6" t="str">
        <f>IF(D101="なし","",B101)</f>
        <v>土留め台座</v>
      </c>
      <c r="C131" s="34" t="str" cm="1">
        <f t="array" ref="C131">IF(D99="　","",IF(D101="なし","",_xlfn.IFS(MID(B101,1,3)="のり面",_xlfn.IFS(VALUE(MID(D99,6,2))&lt;5,"ST170",VALUE(MID(D99,6,2))&lt;8,"ST200",VALUE(MID(D99,6,2))&lt;13,"ST200")&amp;"、FCD450相当",OR(MID(B101,1,3)="構造物",MID(B101,1,3)="土留め"),D99&amp;"用"&amp;IF(OR(MID(B101,1,3)="構造物",D102="　"),"",D102&amp;"/"&amp;E102))&amp;"、防食："&amp;_xlfn.IFS(D100="防食Ⅰ","無処理",D100="防食Ⅱ","亜鉛めっき処理",D100="防食Ⅲ","ｱﾙﾐﾅｲｽﾞ処理")))</f>
        <v>残置J5-5用、防食：無処理</v>
      </c>
      <c r="D131" s="35"/>
      <c r="E131" s="35"/>
      <c r="F131" s="36"/>
      <c r="G131" s="52" t="str">
        <f>IF(D101="なし","","N=1")</f>
        <v>N=1</v>
      </c>
      <c r="H131" s="64"/>
      <c r="I131" s="53"/>
      <c r="J131" s="7" t="str">
        <f>IF(D101="なし","","台")</f>
        <v>台</v>
      </c>
      <c r="K131" s="130" t="str">
        <f>IF(D99="　","",MID(G131,3,2))</f>
        <v>1</v>
      </c>
      <c r="L131" s="30">
        <f>IF(K131="","",D104*K131)</f>
        <v>9</v>
      </c>
    </row>
    <row r="132" spans="2:12" ht="12" customHeight="1">
      <c r="B132" s="6" t="str">
        <f>IF(D103="なし","","フリーパッカー注入ホース")</f>
        <v/>
      </c>
      <c r="C132" s="34" t="str">
        <f>IF(D99="　","",IF(B132="","","16/20"))</f>
        <v/>
      </c>
      <c r="D132" s="35"/>
      <c r="E132" s="35"/>
      <c r="F132" s="36"/>
      <c r="G132" s="127" t="str">
        <f>IF(B132="","","L=自由長+頭部自由長+緊張余長")</f>
        <v/>
      </c>
      <c r="H132" s="64"/>
      <c r="I132" s="53"/>
      <c r="J132" s="7" t="str">
        <f>IF(D103="なし","","m")</f>
        <v/>
      </c>
      <c r="K132" s="6" t="str">
        <f>IF(D99="　","",IF(B132="","",MROUND(SUM(D105,D107:D108),0.1)))</f>
        <v/>
      </c>
      <c r="L132" s="30" t="str">
        <f>IF(K132="","",D104*K132)</f>
        <v/>
      </c>
    </row>
    <row r="133" spans="2:12" ht="12" customHeight="1">
      <c r="B133" s="6" t="str">
        <f>IF(D103="なし","","フリーパッカー")</f>
        <v/>
      </c>
      <c r="C133" s="52" t="str">
        <f>IF(D99="　","",_xlfn.SINGLE(IF(B132="","",_xlfn.IFS(D111=90,"PA-170",D111=115,"PA-200",D111&lt;147,"PA-240",D111&gt;147,"PA-350"))))</f>
        <v/>
      </c>
      <c r="D133" s="35"/>
      <c r="E133" s="35"/>
      <c r="F133" s="36"/>
      <c r="G133" s="129" t="str">
        <f>IF(B133="","","L=自由長+0.5m")</f>
        <v/>
      </c>
      <c r="H133" s="80"/>
      <c r="I133" s="81"/>
      <c r="J133" s="7" t="str">
        <f>IF(D103="なし","","m")</f>
        <v/>
      </c>
      <c r="K133" s="30" t="str">
        <f>IF(D99="　","",IF(B133="","",MROUND(D105+0.5,0.1)))</f>
        <v/>
      </c>
      <c r="L133" s="30" t="str">
        <f>IF(K133="","",D104*K133)</f>
        <v/>
      </c>
    </row>
    <row r="134" spans="2:12" ht="12" customHeight="1">
      <c r="B134" s="6" t="str">
        <f>IF(D103="なし","","パッカー取付加工")</f>
        <v/>
      </c>
      <c r="C134" s="34"/>
      <c r="D134" s="35"/>
      <c r="E134" s="35"/>
      <c r="F134" s="36"/>
      <c r="G134" s="52" t="str">
        <f>IF(B134="","","N=1")</f>
        <v/>
      </c>
      <c r="H134" s="64"/>
      <c r="I134" s="53"/>
      <c r="J134" s="7" t="str">
        <f>IF(D103="なし","","式")</f>
        <v/>
      </c>
      <c r="K134" s="130" t="str">
        <f>IF(D99="　","",MID(G134,3,2))</f>
        <v/>
      </c>
      <c r="L134" s="30" t="str">
        <f>IF(K134="","",D104*K134)</f>
        <v/>
      </c>
    </row>
    <row r="135" spans="2:12" ht="12" customHeight="1">
      <c r="B135" s="9"/>
      <c r="C135" s="52"/>
      <c r="D135" s="35"/>
      <c r="E135" s="35"/>
      <c r="F135" s="36"/>
      <c r="G135" s="57"/>
      <c r="H135" s="65"/>
      <c r="I135" s="107"/>
      <c r="J135" s="10"/>
      <c r="K135" s="30"/>
      <c r="L135" s="30"/>
    </row>
    <row r="136" spans="2:12" ht="12" customHeight="1">
      <c r="B136" s="11"/>
      <c r="C136" s="42"/>
      <c r="D136" s="37"/>
      <c r="E136" s="37"/>
      <c r="F136" s="38"/>
      <c r="G136" s="58"/>
      <c r="H136" s="66"/>
      <c r="I136" s="54"/>
      <c r="J136" s="12"/>
      <c r="K136" s="11"/>
      <c r="L136" s="11"/>
    </row>
    <row r="137" spans="2:12" ht="12" customHeight="1">
      <c r="B137" s="14" t="s">
        <v>30</v>
      </c>
      <c r="C137" s="43" t="s">
        <v>31</v>
      </c>
      <c r="D137" s="40"/>
      <c r="E137" s="40"/>
      <c r="F137" s="41"/>
      <c r="G137" s="59" t="s">
        <v>56</v>
      </c>
      <c r="H137" s="67"/>
      <c r="I137" s="108"/>
      <c r="J137" s="2" t="s">
        <v>55</v>
      </c>
      <c r="K137" s="31">
        <f>IFERROR(MROUND(0.25*PI()*(0.001*D114)^2*(D105+D106+D111+D113)*(1+2.2),0.01),"")</f>
        <v>0.37</v>
      </c>
      <c r="L137" s="31">
        <f>IFERROR(D104*K137,"")</f>
        <v>3.33</v>
      </c>
    </row>
    <row r="140" spans="2:12" ht="12" customHeight="1">
      <c r="B140" s="251" t="s">
        <v>80</v>
      </c>
      <c r="C140" s="251"/>
      <c r="D140" s="251"/>
      <c r="E140" s="251"/>
    </row>
    <row r="141" spans="2:12" ht="12" customHeight="1">
      <c r="B141" s="15" t="s">
        <v>94</v>
      </c>
      <c r="C141" s="15"/>
      <c r="D141" s="1"/>
      <c r="E141" s="1"/>
      <c r="F141" s="1"/>
    </row>
    <row r="142" spans="2:12" ht="12" customHeight="1">
      <c r="B142" s="111" t="s">
        <v>77</v>
      </c>
      <c r="C142" s="3"/>
      <c r="D142" t="str">
        <f>IF(AND(MID(D145,1,2)="残置",MID(D146,3,1)&lt;&gt;"Ⅰ"),"【注意】 残置アンカーは、防食Ⅰ限定です。EHDアンカーに変更してください。","")</f>
        <v/>
      </c>
      <c r="E142" s="1"/>
      <c r="F142" s="1"/>
      <c r="G142" s="8"/>
      <c r="H142" s="8"/>
      <c r="I142" s="102"/>
      <c r="J142" s="28"/>
    </row>
    <row r="143" spans="2:12" ht="12" customHeight="1">
      <c r="B143" s="15" t="s">
        <v>40</v>
      </c>
      <c r="C143" s="3"/>
      <c r="D143" s="1"/>
      <c r="E143" s="1"/>
      <c r="F143" s="1"/>
      <c r="G143" s="15" t="s">
        <v>54</v>
      </c>
      <c r="H143" s="15"/>
      <c r="I143" s="102"/>
      <c r="J143" s="28"/>
    </row>
    <row r="144" spans="2:12" ht="12" customHeight="1">
      <c r="B144" s="2" t="s">
        <v>53</v>
      </c>
      <c r="C144" s="2" t="s">
        <v>21</v>
      </c>
      <c r="D144" s="2" t="s">
        <v>22</v>
      </c>
      <c r="E144" s="2" t="s">
        <v>84</v>
      </c>
      <c r="F144" s="17"/>
      <c r="G144" s="2" t="s">
        <v>41</v>
      </c>
      <c r="H144" s="97" t="s">
        <v>59</v>
      </c>
      <c r="I144" s="49" t="s">
        <v>44</v>
      </c>
      <c r="J144" s="2" t="s">
        <v>21</v>
      </c>
      <c r="K144" s="49" t="s">
        <v>29</v>
      </c>
      <c r="L144" s="2" t="s">
        <v>28</v>
      </c>
    </row>
    <row r="145" spans="2:12" ht="12" customHeight="1">
      <c r="B145" s="51" t="s">
        <v>37</v>
      </c>
      <c r="C145" s="50" t="s">
        <v>38</v>
      </c>
      <c r="D145" s="70" t="s">
        <v>63</v>
      </c>
      <c r="E145" s="137" t="s">
        <v>71</v>
      </c>
      <c r="F145" s="17"/>
      <c r="G145" s="86" t="str">
        <f>IF(D157=0,"",G146)</f>
        <v/>
      </c>
      <c r="H145" s="87" t="str">
        <f>IF(D157=0,"",H147&amp;" (背面管部）")</f>
        <v/>
      </c>
      <c r="I145" s="88" t="str">
        <f>IF(D157=0,"",D158)</f>
        <v/>
      </c>
      <c r="J145" s="89" t="str">
        <f>IF(D157=0,"","m")</f>
        <v/>
      </c>
      <c r="K145" s="90" t="str">
        <f>IF(D157=0,"",D157)</f>
        <v/>
      </c>
      <c r="L145" s="29" t="str">
        <f>IF(D157=0,"",D150*K145)</f>
        <v/>
      </c>
    </row>
    <row r="146" spans="2:12" ht="12" customHeight="1">
      <c r="B146" s="52" t="s">
        <v>39</v>
      </c>
      <c r="C146" s="91" t="s">
        <v>38</v>
      </c>
      <c r="D146" s="71" t="s">
        <v>60</v>
      </c>
      <c r="E146" s="7"/>
      <c r="F146" s="17"/>
      <c r="G146" s="68" t="s">
        <v>43</v>
      </c>
      <c r="H146" s="68" t="s">
        <v>72</v>
      </c>
      <c r="I146" s="88" t="str" cm="1">
        <f t="array" ref="I146">_xlfn.IFS(AND(G146&lt;&gt;"非削孔",G146&lt;&gt;"無設定"),D160,G146="非削孔",IF(MID(B147,1,3)="土留め","非削孔","箱抜き"),G146="無設定","無設定")</f>
        <v>非削孔</v>
      </c>
      <c r="J146" s="23" t="str">
        <f>IF(G146="無設定","","m")</f>
        <v>m</v>
      </c>
      <c r="K146" s="69">
        <v>0.8</v>
      </c>
      <c r="L146" s="30">
        <f>D150*K146</f>
        <v>14.4</v>
      </c>
    </row>
    <row r="147" spans="2:12" ht="12" customHeight="1">
      <c r="B147" s="115" t="s">
        <v>70</v>
      </c>
      <c r="C147" s="91" t="s">
        <v>38</v>
      </c>
      <c r="D147" s="83" t="s">
        <v>52</v>
      </c>
      <c r="E147" s="139" t="str">
        <f>IF(OR(MID(B147,1,3)&lt;&gt;"土留め",D147="なし"),"","腹起し")</f>
        <v>腹起し</v>
      </c>
      <c r="F147" s="19"/>
      <c r="G147" s="68" t="s">
        <v>49</v>
      </c>
      <c r="H147" s="68" t="s">
        <v>68</v>
      </c>
      <c r="I147" s="88" cm="1">
        <f t="array" ref="I147">_xlfn.IFS(AND(G147&lt;&gt;"非削孔",G147&lt;&gt;"無設定"),D160,G147="非削孔","箱抜き",G147="無設定","無設定")</f>
        <v>135</v>
      </c>
      <c r="J147" s="23" t="str">
        <f t="shared" ref="J147:J155" si="3">IF(G147="無設定","","m")</f>
        <v>m</v>
      </c>
      <c r="K147" s="69">
        <v>8</v>
      </c>
      <c r="L147" s="30">
        <f>D150*K147</f>
        <v>144</v>
      </c>
    </row>
    <row r="148" spans="2:12" ht="12" customHeight="1">
      <c r="B148" s="114" t="str">
        <f>IF(OR(MID(B147,1,3)&lt;&gt;"土留め",D147="なし"),"",B147&amp;"の種類")</f>
        <v>土留め台座の種類</v>
      </c>
      <c r="C148" s="91" t="s">
        <v>38</v>
      </c>
      <c r="D148" s="113" t="s">
        <v>66</v>
      </c>
      <c r="E148" s="122" t="s">
        <v>67</v>
      </c>
      <c r="F148" s="21"/>
      <c r="G148" s="68" t="s">
        <v>48</v>
      </c>
      <c r="H148" s="68"/>
      <c r="I148" s="88" t="str" cm="1">
        <f t="array" ref="I148">_xlfn.IFS(AND(G148&lt;&gt;"非削孔",G148&lt;&gt;"無設定"),D160,G148="非削孔","箱抜き",G148="無設定","無設定")</f>
        <v>無設定</v>
      </c>
      <c r="J148" s="23" t="str">
        <f t="shared" si="3"/>
        <v/>
      </c>
      <c r="K148" s="69">
        <v>0</v>
      </c>
      <c r="L148" s="30">
        <f>D150*K148</f>
        <v>0</v>
      </c>
    </row>
    <row r="149" spans="2:12" ht="12" customHeight="1">
      <c r="B149" s="147" t="s">
        <v>50</v>
      </c>
      <c r="C149" s="91" t="s">
        <v>38</v>
      </c>
      <c r="D149" s="83" t="s">
        <v>51</v>
      </c>
      <c r="E149" s="19"/>
      <c r="F149" s="21"/>
      <c r="G149" s="68" t="s">
        <v>48</v>
      </c>
      <c r="H149" s="68"/>
      <c r="I149" s="88" t="str" cm="1">
        <f t="array" ref="I149">_xlfn.IFS(AND(G149&lt;&gt;"非削孔",G149&lt;&gt;"無設定"),D160,G149="非削孔","箱抜き",G149="無設定","無設定")</f>
        <v>無設定</v>
      </c>
      <c r="J149" s="23" t="str">
        <f t="shared" si="3"/>
        <v/>
      </c>
      <c r="K149" s="69">
        <v>0</v>
      </c>
      <c r="L149" s="30">
        <f>D150*K149</f>
        <v>0</v>
      </c>
    </row>
    <row r="150" spans="2:12" ht="12" customHeight="1">
      <c r="B150" s="22" t="s">
        <v>25</v>
      </c>
      <c r="C150" s="23" t="s">
        <v>24</v>
      </c>
      <c r="D150" s="92">
        <v>18</v>
      </c>
      <c r="E150" s="21"/>
      <c r="F150" s="21"/>
      <c r="G150" s="68" t="s">
        <v>48</v>
      </c>
      <c r="H150" s="68"/>
      <c r="I150" s="88" t="str" cm="1">
        <f t="array" ref="I150">_xlfn.IFS(AND(G150&lt;&gt;"非削孔",G150&lt;&gt;"無設定"),D160,G150="非削孔","箱抜き",G150="無設定","無設定")</f>
        <v>無設定</v>
      </c>
      <c r="J150" s="23" t="str">
        <f t="shared" si="3"/>
        <v/>
      </c>
      <c r="K150" s="69">
        <v>0</v>
      </c>
      <c r="L150" s="30">
        <f>D150*K150</f>
        <v>0</v>
      </c>
    </row>
    <row r="151" spans="2:12" ht="12" customHeight="1">
      <c r="B151" s="22" t="s">
        <v>108</v>
      </c>
      <c r="C151" s="23" t="s">
        <v>23</v>
      </c>
      <c r="D151" s="47">
        <v>4.5</v>
      </c>
      <c r="E151" s="21"/>
      <c r="F151" s="21"/>
      <c r="G151" s="68" t="s">
        <v>61</v>
      </c>
      <c r="H151" s="68"/>
      <c r="I151" s="88" t="str" cm="1">
        <f t="array" ref="I151">_xlfn.IFS(AND(G151&lt;&gt;"非削孔",G151&lt;&gt;"無設定"),D160,G151="非削孔","箱抜き",G151="無設定","無設定")</f>
        <v>無設定</v>
      </c>
      <c r="J151" s="23" t="str">
        <f t="shared" si="3"/>
        <v/>
      </c>
      <c r="K151" s="69">
        <v>0</v>
      </c>
      <c r="L151" s="30">
        <f>D150*K151</f>
        <v>0</v>
      </c>
    </row>
    <row r="152" spans="2:12" ht="12" customHeight="1">
      <c r="B152" s="22" t="s">
        <v>36</v>
      </c>
      <c r="C152" s="23" t="s">
        <v>23</v>
      </c>
      <c r="D152" s="47">
        <v>3.5</v>
      </c>
      <c r="E152" s="21"/>
      <c r="F152" s="21"/>
      <c r="G152" s="68" t="s">
        <v>48</v>
      </c>
      <c r="H152" s="68"/>
      <c r="I152" s="88" t="str" cm="1">
        <f t="array" ref="I152">_xlfn.IFS(AND(G152&lt;&gt;"非削孔",G152&lt;&gt;"無設定"),D160,G152="非削孔","箱抜き",G152="無設定","無設定")</f>
        <v>無設定</v>
      </c>
      <c r="J152" s="23" t="str">
        <f t="shared" si="3"/>
        <v/>
      </c>
      <c r="K152" s="69">
        <v>0</v>
      </c>
      <c r="L152" s="30">
        <f>D150*K152</f>
        <v>0</v>
      </c>
    </row>
    <row r="153" spans="2:12" ht="12" customHeight="1">
      <c r="B153" s="148" t="str" cm="1">
        <f t="array" ref="B153">"頭部自由長("&amp;_xlfn.IFS(AND(MID(B147,1,3)="土留め",D147="あり"),"腹起し+台座",AND(MID(B147,1,3)="土留め",D147="なし"),"台座なし",AND(MID(B147,1,3)="構造物",D147="あり"),"壁面台座",AND(MID(B147,1,3)="構造物",D147="なし"),"台座なし",AND(MID(B147,1,3)="のり面",D147="あり"),"角度台座＋受圧体",AND(MID(B147,1,3)="のり面",D147="なし"),"受圧体")&amp;")　"&amp;"Lfh"</f>
        <v>頭部自由長(腹起し+台座)　Lfh</v>
      </c>
      <c r="C153" s="23" t="s">
        <v>23</v>
      </c>
      <c r="D153" s="47">
        <v>0.8</v>
      </c>
      <c r="E153" s="21"/>
      <c r="F153" s="21"/>
      <c r="G153" s="68" t="s">
        <v>48</v>
      </c>
      <c r="H153" s="68"/>
      <c r="I153" s="88" t="str" cm="1">
        <f t="array" ref="I153">_xlfn.IFS(AND(G153&lt;&gt;"非削孔",G153&lt;&gt;"無設定"),D160,G153="非削孔","箱抜き",G153="無設定","無設定")</f>
        <v>無設定</v>
      </c>
      <c r="J153" s="23" t="str">
        <f t="shared" si="3"/>
        <v/>
      </c>
      <c r="K153" s="69">
        <v>0</v>
      </c>
      <c r="L153" s="30">
        <f>D150*K153</f>
        <v>0</v>
      </c>
    </row>
    <row r="154" spans="2:12" ht="12" customHeight="1">
      <c r="B154" s="146" t="s">
        <v>69</v>
      </c>
      <c r="C154" s="23" t="s">
        <v>23</v>
      </c>
      <c r="D154" s="24">
        <f>IF(D145="　","──",IF(MID(D145,6,2)*IF(MID(D145,4,1)="5",183,261)*IF(MID(D146,3,1)="Ⅰ",0.65,0.6)*IF(MID(D145,1,2)="除去",0.9,1)&lt;=700,1,1.5))</f>
        <v>1</v>
      </c>
      <c r="E154" s="120"/>
      <c r="G154" s="68" t="s">
        <v>48</v>
      </c>
      <c r="H154" s="68"/>
      <c r="I154" s="88" t="str" cm="1">
        <f t="array" ref="I154">_xlfn.IFS(AND(G154&lt;&gt;"非削孔",G154&lt;&gt;"無設定"),D160,G154="非削孔","箱抜き",G154="無設定","無設定")</f>
        <v>無設定</v>
      </c>
      <c r="J154" s="23" t="str">
        <f t="shared" si="3"/>
        <v/>
      </c>
      <c r="K154" s="69">
        <v>0</v>
      </c>
      <c r="L154" s="30">
        <f>D150*K154</f>
        <v>0</v>
      </c>
    </row>
    <row r="155" spans="2:12" ht="12" customHeight="1">
      <c r="B155" s="6" t="s">
        <v>109</v>
      </c>
      <c r="C155" s="23" t="s">
        <v>23</v>
      </c>
      <c r="D155" s="60">
        <f>IF(D145="　","──",SUM(D151:D154))</f>
        <v>9.8000000000000007</v>
      </c>
      <c r="E155" s="121"/>
      <c r="F155" s="19"/>
      <c r="G155" s="99" t="str" cm="1">
        <f t="array" ref="G155">INDEX(G146:I154,MATCH("無設定",G146:G154,0)-1,MATCH(G144,G144:I144,0))</f>
        <v>軟　岩</v>
      </c>
      <c r="H155" s="100" t="str" cm="1">
        <f t="array" ref="H155">INDEX(G146:I154,MATCH("無設定",G146:G154,0)-1,MATCH(H144,G144:I144,0))&amp;"　(先端削孔長)"</f>
        <v>CL～CM　(先端削孔長)</v>
      </c>
      <c r="I155" s="88" cm="1">
        <f t="array" ref="I155">INDEX(G146:I154,MATCH("無設定",G146:G154,0)-1,MATCH(I144,G144:I144,0))</f>
        <v>135</v>
      </c>
      <c r="J155" s="23" t="str">
        <f t="shared" si="3"/>
        <v>m</v>
      </c>
      <c r="K155" s="98">
        <f>D159</f>
        <v>0.2</v>
      </c>
      <c r="L155" s="78">
        <f>IFERROR(D150*K155,"")</f>
        <v>3.6</v>
      </c>
    </row>
    <row r="156" spans="2:12" ht="12" customHeight="1">
      <c r="B156" s="22" t="s">
        <v>75</v>
      </c>
      <c r="C156" s="23" t="s">
        <v>35</v>
      </c>
      <c r="D156" s="84">
        <f>IF(D145="　","──",IF(MID(D145,1,2)="除去",0,0.2))</f>
        <v>0</v>
      </c>
      <c r="E156" s="123"/>
      <c r="F156" s="19"/>
      <c r="G156" s="72"/>
      <c r="H156" s="103" t="s">
        <v>45</v>
      </c>
      <c r="I156" s="103"/>
      <c r="J156" s="18" t="s">
        <v>23</v>
      </c>
      <c r="K156" s="74">
        <f>SUMIFS(K145:K155,G145:G155,"&lt;&gt;非削孔",G145:G155,"&lt;&gt;無設定")</f>
        <v>8.1999999999999993</v>
      </c>
      <c r="L156" s="95">
        <f>SUMIFS(L145:L155,G145:G155,"&lt;&gt;非削孔",G145:G155,"&lt;&gt;無設定")</f>
        <v>147.6</v>
      </c>
    </row>
    <row r="157" spans="2:12" ht="12" customHeight="1">
      <c r="B157" s="22" t="s">
        <v>73</v>
      </c>
      <c r="C157" s="23" t="s">
        <v>35</v>
      </c>
      <c r="D157" s="85">
        <v>0</v>
      </c>
      <c r="E157" s="123"/>
      <c r="F157" s="19"/>
      <c r="G157" s="73"/>
      <c r="H157" s="104" t="s">
        <v>47</v>
      </c>
      <c r="I157" s="104"/>
      <c r="J157" s="79" t="s">
        <v>46</v>
      </c>
      <c r="K157" s="77" t="str">
        <f>IF(D145="　","",IF(SUM(D151:D153,D157,D159)=K156+SUMIFS(K145:K155,G145:G155,"=非削孔"),"OK","NG"))</f>
        <v>OK</v>
      </c>
      <c r="L157" s="145" t="str">
        <f>IF(K157&lt;&gt;"NG","──",K156+SUMIFS(K145:K155,G145:G155,"=非削孔")-SUM(D151:D153,D157,D159))</f>
        <v>──</v>
      </c>
    </row>
    <row r="158" spans="2:12" ht="12" customHeight="1">
      <c r="B158" s="22" t="str">
        <f>IF(D145="　","",IF(D157=0,"","頭部背面管削孔径　Dh"))</f>
        <v/>
      </c>
      <c r="C158" s="23" t="str">
        <f>IF(D145="　","",IF(D157=0,"","mm"))</f>
        <v/>
      </c>
      <c r="D158" s="93" t="str" cm="1">
        <f t="array" ref="D158">IF(D145="　","",IF(D157=0,"",IF(MID(D145,4,1)="5",_xlfn.IFS(VALUE(MID(D145,6,2))&lt;7,115,VALUE(MID(D145,6,2))&gt;6,135),"未設定")))</f>
        <v/>
      </c>
      <c r="E158" s="121"/>
      <c r="F158" s="19"/>
      <c r="G158" s="94" t="s">
        <v>58</v>
      </c>
      <c r="H158" s="252" t="s">
        <v>62</v>
      </c>
      <c r="I158" s="253"/>
      <c r="J158" s="253"/>
      <c r="K158" s="253"/>
      <c r="L158" s="254"/>
    </row>
    <row r="159" spans="2:12" ht="12" customHeight="1">
      <c r="B159" s="25" t="s">
        <v>74</v>
      </c>
      <c r="C159" s="26" t="s">
        <v>23</v>
      </c>
      <c r="D159" s="27">
        <f>IF(MID(D145,1,2)="残置",0.25,0.2)</f>
        <v>0.2</v>
      </c>
      <c r="E159" s="117"/>
      <c r="F159" s="1"/>
      <c r="G159" s="8"/>
      <c r="H159" s="8"/>
      <c r="I159" s="102"/>
    </row>
    <row r="160" spans="2:12" ht="12" customHeight="1">
      <c r="B160" s="25" t="s">
        <v>57</v>
      </c>
      <c r="C160" s="26" t="s">
        <v>32</v>
      </c>
      <c r="D160" s="82" cm="1">
        <f t="array" ref="D160">IF(D145="　","──",IF(E160="　",_xlfn.IFS(MID(D145,1,2)="除去",IF(MID(D145,4,1)="5",135,165),MID(D145,1,2)="残置",IF(MID(D145,4,1)="5",IF(VALUE(MID(D145,6,2))&lt;8,115,135),IF(VALUE(MID(D145,6,2))&lt;10,146,165))),E160))</f>
        <v>135</v>
      </c>
      <c r="E160" s="142" t="s">
        <v>71</v>
      </c>
      <c r="F160" s="1"/>
      <c r="G160" s="8"/>
      <c r="H160" s="8"/>
      <c r="I160" s="102"/>
    </row>
    <row r="161" spans="2:12" ht="12" customHeight="1">
      <c r="F161" s="1"/>
      <c r="G161" s="8"/>
      <c r="H161" s="8"/>
      <c r="I161" s="102"/>
    </row>
    <row r="162" spans="2:12" ht="12" customHeight="1">
      <c r="B162" s="15" t="str">
        <f>"■"&amp;MID(B140,2,17)</f>
        <v>■短期仮設：KJS残置アンカー数量表</v>
      </c>
      <c r="C162" s="3"/>
      <c r="D162" s="1"/>
      <c r="E162" s="1"/>
      <c r="F162" s="1"/>
      <c r="G162" s="8"/>
      <c r="H162" s="8"/>
      <c r="I162" s="102"/>
    </row>
    <row r="163" spans="2:12" ht="12" customHeight="1">
      <c r="B163" s="2" t="s">
        <v>17</v>
      </c>
      <c r="C163" s="43"/>
      <c r="D163" s="134"/>
      <c r="E163" s="61" t="s">
        <v>78</v>
      </c>
      <c r="F163" s="135"/>
      <c r="G163" s="16"/>
      <c r="H163" s="61" t="s">
        <v>42</v>
      </c>
      <c r="I163" s="97"/>
      <c r="J163" s="2" t="s">
        <v>21</v>
      </c>
      <c r="K163" s="49" t="s">
        <v>29</v>
      </c>
      <c r="L163" s="2" t="s">
        <v>28</v>
      </c>
    </row>
    <row r="164" spans="2:12" ht="12" customHeight="1">
      <c r="B164" s="4" t="str">
        <f>IF(MID(D145,1,2)="除去","アンボンド","")&amp;"PCストランド"</f>
        <v>アンボンドPCストランド</v>
      </c>
      <c r="C164" s="39" t="str">
        <f>IF(D145="　","",D145&amp;"("&amp;MID(D145,6,2)&amp;IF(MID(D145,4,1)="5","φ12.7","φ15.2")&amp;")")</f>
        <v>除去J5-6(6φ12.7)</v>
      </c>
      <c r="D164" s="32"/>
      <c r="E164" s="32"/>
      <c r="F164" s="33"/>
      <c r="G164" s="143" t="str">
        <f>"W="&amp;IF(MID(D145,1,2)="除去","(ﾃﾝﾄﾞﾝ長+ｱﾝｶｰ体長×(1/鋼線本数-0.5))","(テンドン長+先端長0.2m)")&amp;"×鋼線本数×"&amp;IF(MID(D145,4,1)="5","0.774","1.101")&amp;"kg/m"</f>
        <v>W=(ﾃﾝﾄﾞﾝ長+ｱﾝｶｰ体長×(1/鋼線本数-0.5))×鋼線本数×0.774kg/m</v>
      </c>
      <c r="H164" s="62"/>
      <c r="I164" s="105"/>
      <c r="J164" s="5" t="s">
        <v>11</v>
      </c>
      <c r="K164" s="29">
        <f>IF(D145="　","",MROUND(IF(MID(D145,1,2)="除去",D155+D152*(1/MID(D145,6,2)-0.5),D155+D156)*MID(D145,6,2)*IF(MID(D145,4,1)="5","0.774","1.101"),0.01))</f>
        <v>40.090000000000003</v>
      </c>
      <c r="L164" s="29">
        <f>IFERROR(D150*K164,"")</f>
        <v>721.62000000000012</v>
      </c>
    </row>
    <row r="165" spans="2:12" ht="12" customHeight="1">
      <c r="B165" s="6" t="s">
        <v>20</v>
      </c>
      <c r="C165" s="34"/>
      <c r="D165" s="35"/>
      <c r="E165" s="35"/>
      <c r="F165" s="36"/>
      <c r="G165" s="56" t="str">
        <f>"L=テンドン長"&amp;IF(MID(D145,1,2)="除去","+アンカー体長×(1/鋼線本数-0.5))","")</f>
        <v>L=テンドン長+アンカー体長×(1/鋼線本数-0.5))</v>
      </c>
      <c r="H165" s="63"/>
      <c r="I165" s="106"/>
      <c r="J165" s="7" t="s">
        <v>12</v>
      </c>
      <c r="K165" s="30">
        <f>IF(D145="　","",MROUND(D155+IF(MID(D145,1,2)="除去",D152*(1/MID(D145,6,2)-0.5),0),0.1))</f>
        <v>8.6</v>
      </c>
      <c r="L165" s="30">
        <f>IFERROR(D150*K165,"")</f>
        <v>154.79999999999998</v>
      </c>
    </row>
    <row r="166" spans="2:12" ht="12" customHeight="1">
      <c r="B166" s="6" t="str">
        <f>IF(MID(D145,1,2)="除去","耐荷体","注入ホース")</f>
        <v>耐荷体</v>
      </c>
      <c r="C166" s="34" t="str" cm="1">
        <f t="array" ref="C166">IF(D145="　","",IF(MID(D145,1,2)="除去",IF(MID(D145,1,2)="除去",MID(D145,3,2)&amp;"用Bタイプ、FCD450相当"&amp;_xlfn.IFS(MID(D146,3,1)="Ⅰ","",MID(D146,3,1)="Ⅱ","、亜鉛めっき処理",MID(D146,3,1)="Ⅲ","、ｱﾙﾐﾅｲｽﾞ処理"),""),"1/2″"))</f>
        <v>J5用Bタイプ、FCD450相当、亜鉛めっき処理</v>
      </c>
      <c r="D166" s="35"/>
      <c r="E166" s="35"/>
      <c r="F166" s="36"/>
      <c r="G166" s="127" t="str">
        <f>IF(MID(D145,1,2)="除去","N="&amp;0.5*MID(D145,6,2),"L=テンドン長")</f>
        <v>N=3</v>
      </c>
      <c r="H166" s="63"/>
      <c r="I166" s="106"/>
      <c r="J166" s="7" t="str">
        <f>IF(MID(D145,1,2)="除去","個","m")</f>
        <v>個</v>
      </c>
      <c r="K166" s="130" t="str">
        <f>IF(D145="　","",IF(MID(D145,1,2)="除去",MID(G166,3,2),MROUND(D155,0.1)))</f>
        <v>3</v>
      </c>
      <c r="L166" s="30">
        <f>IFERROR(D150*K166,"")</f>
        <v>54</v>
      </c>
    </row>
    <row r="167" spans="2:12" ht="12" customHeight="1">
      <c r="B167" s="109" t="str">
        <f>IF(MID(D145,1,2)="除去","結束テープ","パイロットキャップ")</f>
        <v>結束テープ</v>
      </c>
      <c r="C167" s="34" t="str" cm="1">
        <f t="array" ref="C167">IF(D145="　","",IF(MID(D145,1,2)="除去","","Ｊ"&amp;IF(MID(D145,4,1)="5",_xlfn.IFS(VALUE(MID(D145,6,2))&lt;5,"5-4",VALUE(MID(D145,6,2))&lt;8,"5-7",VALUE(MID(D145,6,2))&lt;10,"5-9",VALUE(MID(D145,6,2))&gt;9,"5-12"),_xlfn.IFS(VALUE(MID(D145,6,2))&lt;10,"6-9",VALUE(MID(D145,6,2))&lt;13,"6-12",VALUE(MID(D145,6,2))&gt;12,"6-19"))&amp;"用、"&amp;IF(AND(MID(D145,4,1)="6",VALUE(MID(D145,6,2))&gt;9),"AC2A","ポリプロピレン")))</f>
        <v/>
      </c>
      <c r="D167" s="35"/>
      <c r="E167" s="35"/>
      <c r="F167" s="36"/>
      <c r="G167" s="52" t="str">
        <f>IF(MID(D145,1,2)="除去","L=(自由長+頭部自由長+緊張余長)÷2.0mピッチ","N=1")</f>
        <v>L=(自由長+頭部自由長+緊張余長)÷2.0mピッチ</v>
      </c>
      <c r="H167" s="110"/>
      <c r="I167" s="53"/>
      <c r="J167" s="7" t="str">
        <f>IF(MID(D145,1,2)="除去","m","個")</f>
        <v>m</v>
      </c>
      <c r="K167" s="130">
        <f>IF(D145="　","",IF(MID(D145,1,2)="除去",MROUND(SUM(D151,D153:D154)/2,0.01),MID(G167,3,2)))</f>
        <v>3.15</v>
      </c>
      <c r="L167" s="30">
        <f>IFERROR(D150*K167,"")</f>
        <v>56.699999999999996</v>
      </c>
    </row>
    <row r="168" spans="2:12" ht="12" customHeight="1">
      <c r="B168" s="109" t="str">
        <f>IF(MID(D145,1,2)="除去",IF(D146="防食Ⅰ","アンカープレート","溝付アンカープレート"),"スペーサ")</f>
        <v>溝付アンカープレート</v>
      </c>
      <c r="C168" s="96" t="str" cm="1">
        <f t="array" ref="C168">IF(D145="　","",_xlfn.SINGLE(IF(MID(D145,1,2)="除去","J"&amp;_xlfn.SINGLE(IF(MID(D145,4,1)="5",_xlfn.IFS(VALUE(MID(D145,6,2))&lt;3,"5-2",VALUE(MID(D145,6,2))&lt;5,"5-4",VALUE(MID(D145,6,2))&lt;7,"5-7",VALUE(MID(D145,6,2))&lt;10,"5-9",VALUE(MID(D145,6,2))&gt;9,"5-12"),_xlfn.IFS(VALUE(MID(D145,6,2))&lt;13,"6-12")))&amp;"用、"&amp;IF(D146="防食Ⅰ","SS400相当","SS400・STKM13A相当、防食：")&amp;_xlfn.IFS(D146="防食Ⅰ","無処理",D146="防食Ⅱ","亜鉛めっき処理",D146="防食Ⅲ","ｱﾙﾐﾅｲｽﾞ処理"),"J"&amp;IF(MID(D145,4,1)="5",_xlfn.IFS(VALUE(MID(D145,6,2))&lt;8,"5-7",VALUE(MID(D145,6,2))&gt;7,"5-12"),_xlfn.IFS(VALUE(MID(D145,6,2))&lt;8,"6-7",VALUE(MID(D145,6,2))&lt;13,"6-12",VALUE(MID(D145,6,2))&gt;12,"6-19"))&amp;"用、"&amp;IF(AND(MID(D145,4,1)="6",VALUE(MID(D145,6,2))&gt;9),"AC2B","ポリプロピレン"))))</f>
        <v>J5-7用、SS400・STKM13A相当、防食：亜鉛めっき処理</v>
      </c>
      <c r="D168" s="35"/>
      <c r="E168" s="35"/>
      <c r="F168" s="36"/>
      <c r="G168" s="127" t="str">
        <f>IF(MID(D145,1,2)="除去","N=1","N=アンカー体÷1.0mピッチ")</f>
        <v>N=1</v>
      </c>
      <c r="H168" s="63"/>
      <c r="I168" s="106"/>
      <c r="J168" s="7" t="str">
        <f>IF(MID(D145,1,2)="除去","枚","m")</f>
        <v>枚</v>
      </c>
      <c r="K168" s="130" t="str">
        <f>IF(D145="　","",IF(D145="　","",IF(MID(D145,1,2)="除去",MID(G168,3,2),MROUND(D152/1,1))))</f>
        <v>1</v>
      </c>
      <c r="L168" s="30">
        <f>IFERROR(D150*K168,"")</f>
        <v>18</v>
      </c>
    </row>
    <row r="169" spans="2:12" ht="12" customHeight="1">
      <c r="B169" s="109" t="str">
        <f>IF(MID(D145,1,2)="除去","アンカーヘッド","結束バンド")</f>
        <v>アンカーヘッド</v>
      </c>
      <c r="C169" s="34" t="str">
        <f>IF(D145="　","",IF(MID(D145,1,2)="除去","J"&amp;IF(MID(D145,4,1)="5",_xlfn.IFS(VALUE(MID(D145,6,2))&lt;3,"5-2",VALUE(MID(D145,6,2))&lt;4,"5-3",VALUE(MID(D145,6,2))&lt;5,"5-4",VALUE(MID(D145,6,2))&lt;8,"5-7",VALUE(MID(D145,6,2))&lt;10,"5-9",VALUE(MID(D145,6,2))&gt;9,"5-12"),_xlfn.IFS(VALUE(MID(D145,6,2))&lt;8,"6-7",VALUE(MID(D145,6,2))&gt;7,"6-12"))&amp;"用、S45C相当","AB350、66ナイロン"))</f>
        <v>J5-7用、S45C相当</v>
      </c>
      <c r="D169" s="35"/>
      <c r="E169" s="35"/>
      <c r="F169" s="36"/>
      <c r="G169" s="127" t="str">
        <f>IF(MID(D145,1,2)="除去","N=1","N=スペーサ数×2")</f>
        <v>N=1</v>
      </c>
      <c r="H169" s="63"/>
      <c r="I169" s="106"/>
      <c r="J169" s="7" t="str">
        <f>IF(MID(D145,1,2)="除去","個","本")</f>
        <v>個</v>
      </c>
      <c r="K169" s="130" t="str">
        <f>IF(D145="　","",IF(MID(D145,1,2)="除去",MID(G169,3,2),2*K168))</f>
        <v>1</v>
      </c>
      <c r="L169" s="30">
        <f>IFERROR(D150*K169,"")</f>
        <v>18</v>
      </c>
    </row>
    <row r="170" spans="2:12" ht="12" customHeight="1">
      <c r="B170" s="6" t="str">
        <f>IF(MID(D145,1,2)="除去","くさび","ポリホース")</f>
        <v>くさび</v>
      </c>
      <c r="C170" s="34" t="str">
        <f>IF(D145="　","",IF(MID(D145,1,2)="除去",MID(D145,3,5)&amp;"用、"&amp;IF(MID(D145,4,1)="5","φ12.7","φ15.2")&amp;"、SCM415相当","1-1/2″"))</f>
        <v>J5-6用、φ12.7、SCM415相当</v>
      </c>
      <c r="D170" s="35"/>
      <c r="E170" s="35"/>
      <c r="F170" s="36"/>
      <c r="G170" s="127" t="str">
        <f>IF(MID(D145,1,2)="除去","N="&amp;MID(D145,6,2),"L=自由長-0.5m")</f>
        <v>N=6</v>
      </c>
      <c r="H170" s="63"/>
      <c r="I170" s="106"/>
      <c r="J170" s="7" t="str">
        <f>IF(MID(D145,1,2)="除去","組","m")</f>
        <v>組</v>
      </c>
      <c r="K170" s="130" t="str">
        <f>IF(D145="　","",IF(MID(D145,1,2)="除去",MID(G170,3,2),D151+D153-0.5))</f>
        <v>6</v>
      </c>
      <c r="L170" s="30">
        <f>IFERROR(D150*K170,"")</f>
        <v>108</v>
      </c>
    </row>
    <row r="171" spans="2:12" ht="12" customHeight="1">
      <c r="B171" s="6" t="str">
        <f>IF(MID(D145,1,2)="除去",IF(D146="防食Ⅰ","","ヘッドキャップ"),"アンカープレート")</f>
        <v>ヘッドキャップ</v>
      </c>
      <c r="C171" s="96" t="str" cm="1">
        <f t="array" ref="C171">IF(D145="　","",IF(MID(D145,1,2)="除去",IF(D146="防食Ⅰ","","J"&amp;_xlfn.SINGLE(IF(MID(D145,4,1)="5",_xlfn.IFS(VALUE(MID(D145,6,2))&lt;5,"5-4",VALUE(MID(D145,6,2))&lt;8,"5-7",VALUE(MID(D145,6,2))&gt;7,"5-12"),"未設定"))&amp;"RN用、AC4C相当"&amp;IF(D146="防食Ⅱ","","、防食：タケコート処理")),"J"&amp;_xlfn.SINGLE(IF(MID(D145,4,1)="5",_xlfn.IFS(VALUE(MID(D145,6,2))&lt;3,"5-2",VALUE(MID(D145,6,2))&lt;5,"5-4",VALUE(MID(D145,6,2))&lt;7,"5-7",VALUE(MID(D145,6,2))&lt;10,"5-9",VALUE(MID(D145,6,2))&gt;9,"5-12"),_xlfn.IFS(VALUE(MID(D145,6,2))&lt;13,"6-12")))&amp;"用、"&amp;IF(D146="防食Ⅰ","SS400相当","SS400・STKM13A相当、防食：")&amp;_xlfn.IFS(D146="防食Ⅰ","、防食：無処理",D146="防食Ⅱ","、防食：亜鉛めっき",D146="防食Ⅲ","、防食：ｱﾙﾐﾅｲｽﾞ")))</f>
        <v>J5-7RN用、AC4C相当</v>
      </c>
      <c r="D171" s="44"/>
      <c r="E171" s="44"/>
      <c r="F171" s="45"/>
      <c r="G171" s="52" t="str">
        <f>IF(MID(D145,1,2)="除去","N="&amp;IF(D146="防食Ⅰ","",1),"N=1")</f>
        <v>N=1</v>
      </c>
      <c r="H171" s="64"/>
      <c r="I171" s="53"/>
      <c r="J171" s="7" t="str">
        <f>IF(MID(D145,1,2)="除去",IF(D146="防食Ⅰ","","個"),"枚")</f>
        <v>個</v>
      </c>
      <c r="K171" s="130" t="str">
        <f>IF(D145="　","",IF(MID(D145,1,2)="除去",MID(G171,3,2),MID(G171,3,2)))</f>
        <v>1</v>
      </c>
      <c r="L171" s="30">
        <f>IFERROR(D150*K171,"")</f>
        <v>18</v>
      </c>
    </row>
    <row r="172" spans="2:12" ht="12" customHeight="1">
      <c r="B172" s="6" t="str">
        <f>IF(MID(D145,1,2)="除去",IF(D146="防食Ⅰ","","頭部防錆油"),"アンカーヘッド")</f>
        <v>頭部防錆油</v>
      </c>
      <c r="C172" s="34" t="str">
        <f>IF(D145="　","",IF(MID(D145,1,2)="除去",IF(D146="防食Ⅰ","","PCコートC"),"J"&amp;IF(MID(D145,4,1)="5",_xlfn.IFS(VALUE(MID(D145,6,2))&lt;3,"5-2",VALUE(MID(D145,6,2))&lt;4,"5-3",VALUE(MID(D145,6,2))&lt;5,"5-4",VALUE(MID(D145,6,2))&lt;8,"5-7",VALUE(MID(D145,6,2))&lt;10,"5-9",VALUE(MID(D145,6,2))&gt;9,"5-12"),_xlfn.IFS(VALUE(MID(D145,6,2))&lt;8,"6-7",VALUE(MID(D145,6,2))&gt;7,"6-12"))&amp;"用、S45C相当"))</f>
        <v>PCコートC</v>
      </c>
      <c r="D172" s="35"/>
      <c r="E172" s="35"/>
      <c r="F172" s="36"/>
      <c r="G172" s="52" t="str">
        <f>IF(MID(D145,1,2)="除去","W="&amp;IF(D146="防食Ⅰ","",IF(MID(D145,4,1)="5",_xlfn.IFS(VALUE(MID(D145,6,2))&lt;4,1.8,VALUE(MID(D145,6,2))&lt;5,2,VALUE(MID(D145,6,2))&lt;8,2.7,VALUE(MID(D145,6,2))&gt;7,5),_xlfn.IFS(VALUE(MID(D145,6,2))=1,1.8,VALUE(MID(D145,6,2))&lt;3,2,VALUE(MID(D145,6,2))&lt;5,2.7,VALUE(MID(D145,6,2))&lt;8,5,VALUE(MID(D145,6,2))&gt;7,12.3))),"N=1")</f>
        <v>W=2.7</v>
      </c>
      <c r="H172" s="64"/>
      <c r="I172" s="53"/>
      <c r="J172" s="7" t="str">
        <f>IF(MID(D145,1,2)="除去",IF(D146="防食Ⅰ","","kg"),"個")</f>
        <v>kg</v>
      </c>
      <c r="K172" s="130" t="str">
        <f>IF(D145="　","",IF(MID(D145,1,2)="除去",MID(G172,3,4),MID(G172,3,2)))</f>
        <v>2.7</v>
      </c>
      <c r="L172" s="30">
        <f>IFERROR(D150*K172,"")</f>
        <v>48.6</v>
      </c>
    </row>
    <row r="173" spans="2:12" ht="12" customHeight="1">
      <c r="B173" s="6" t="str">
        <f>IF(MID(D145,1,2)="除去",IF(D146="防食Ⅰ","","止水具スペーサ"),"くさび")</f>
        <v>止水具スペーサ</v>
      </c>
      <c r="C173" s="34" t="str">
        <f>IF(D145="　","",IF(MID(D145,1,2)="除去",IF(D146="防食Ⅰ","",MID(D145,3,5)&amp;"用、NBR45相当"),MID(D145,3,5)&amp;"用、"&amp;IF(MID(D145,4,1)="5","φ12.7","φ15.2")&amp;"、SCM415相当"))</f>
        <v>J5-6用、NBR45相当</v>
      </c>
      <c r="D173" s="35"/>
      <c r="E173" s="35"/>
      <c r="F173" s="36"/>
      <c r="G173" s="52" t="str">
        <f>IF(D145="　","",IF(MID(D145,1,2)="除去","N="&amp;IF(D146="防食Ⅰ","",1),"N="&amp;MID(D145,6,2)))</f>
        <v>N=1</v>
      </c>
      <c r="H173" s="64"/>
      <c r="I173" s="53"/>
      <c r="J173" s="7" t="str">
        <f>IF(MID(D145,1,2)="除去",IF(D146="防食Ⅰ","","個"),"組")</f>
        <v>個</v>
      </c>
      <c r="K173" s="130" t="str">
        <f>IF(D145="　","",IF(MID(D145,1,2)="除去",MID(G173,3,2),MID(G173,3,2)))</f>
        <v>1</v>
      </c>
      <c r="L173" s="30">
        <f>IFERROR(D150*K173,"")</f>
        <v>18</v>
      </c>
    </row>
    <row r="174" spans="2:12" ht="12" customHeight="1">
      <c r="B174" s="6" t="str">
        <f>IF(MID(D145,1,2)="除去",IF(D146="防食Ⅰ","","配列スペーサ"),"サンタックシーラー")</f>
        <v>配列スペーサ</v>
      </c>
      <c r="C174" s="34" t="str">
        <f>IF(D145="　","",IF(MID(D145,1,2)="除去",IF(D146="防食Ⅰ","","J"&amp;IF(MID(D145,4,1)="5",_xlfn.IFS(VALUE(MID(D145,6,2))=3,"5-3",VALUE(MID(D145,6,2))&lt;5,"5-4",VALUE(MID(D145,6,2))&lt;8,"5-7",VALUE(MID(D145,6,2))&gt;7,"5-12"),_xlfn.IFS(VALUE(MID(D145,6,2))=3,"6-3",VALUE(MID(D145,6,2))&lt;5,"6-4",VALUE(MID(D145,6,2))&lt;8,"6-7",VALUE(MID(D145,6,2))&gt;7,"6-12"))&amp;"用、ポリエチレン"),""))</f>
        <v>J5-7用、ポリエチレン</v>
      </c>
      <c r="D174" s="35"/>
      <c r="E174" s="35"/>
      <c r="F174" s="36"/>
      <c r="G174" s="52" t="str" cm="1">
        <f t="array" ref="G174">IF(D145="　","",IF(MID(D145,1,2)="除去","N="&amp;IF(D146="防食Ⅰ","",1),"N="&amp;IF(MID(D145,4,1)="5",_xlfn.IFS(VALUE(MID(D145,6,2))&lt;5,0.03,VALUE(MID(D145,6,2))&lt;8,0.04,VALUE(MID(D145,6,2))&lt;13,0.06),_xlfn.IFS(VALUE(MID(D145,6,2))&lt;4,0.03,VALUE(MID(D145,6,2))&lt;6,0.04,VALUE(MID(D145,6,2))&lt;9,0.06,VALUE(MID(D145,6,2))&gt;8,0.09))&amp;"巻/本"))</f>
        <v>N=1</v>
      </c>
      <c r="H174" s="64"/>
      <c r="I174" s="53"/>
      <c r="J174" s="7" t="str">
        <f>IF(MID(D145,1,2)="除去",IF(D146="防食Ⅰ","","個"),"巻")</f>
        <v>個</v>
      </c>
      <c r="K174" s="130" t="str">
        <f>IF(D145="　","",IF(MID(D145,1,2)="除去",MID(G174,3,2),MID(G174,3,4)))</f>
        <v>1</v>
      </c>
      <c r="L174" s="30">
        <f>IFERROR(D150*K174,"")</f>
        <v>18</v>
      </c>
    </row>
    <row r="175" spans="2:12" ht="12" customHeight="1">
      <c r="B175" s="6" t="str">
        <f>IF(MID(D145,1,2)="除去","","結束テープ")</f>
        <v/>
      </c>
      <c r="C175" s="34" t="str">
        <f>IF(D145="　","",IF(MID(D145,1,2)="除去","",""))</f>
        <v/>
      </c>
      <c r="D175" s="35"/>
      <c r="E175" s="35"/>
      <c r="F175" s="36"/>
      <c r="G175" s="52" t="str" cm="1">
        <f t="array" ref="G175">IF(D145="　","",IF(MID(D145,1,2)="除去","","L=(自由長+緊張余長)×係数"&amp;IF(MID(D145,4,1)="5",_xlfn.IFS(VALUE(MID(D145,6,2))&lt;5,"1.0",VALUE(MID(D145,6,2))&lt;8,"1.1",VALUE(MID(D145,6,2))&lt;13,"1.2"),_xlfn.IFS(VALUE(MID(D145,6,2))&lt;4,"1.0",VALUE(MID(D145,6,2))&lt;6,"1.1",VALUE(MID(D145,6,2))&lt;9,"1.2",VALUE(MID(D145,6,2))&gt;8,"1.4"))))</f>
        <v/>
      </c>
      <c r="H175" s="64"/>
      <c r="I175" s="53"/>
      <c r="J175" s="7" t="str">
        <f>IF(MID(D145,1,2)="除去","","m")</f>
        <v/>
      </c>
      <c r="K175" s="6" t="str">
        <f>IF(D145="　","",IF(MID(D145,1,2)="除去","",MROUND(SUM(D151,D153:D154)*RIGHT(G175,3),0.1)))</f>
        <v/>
      </c>
      <c r="L175" s="30" t="str">
        <f>IFERROR(D150*K175,"")</f>
        <v/>
      </c>
    </row>
    <row r="176" spans="2:12" ht="12" customHeight="1">
      <c r="B176" s="126" t="str">
        <f>IF(MID(D145,1,2)="除去","","防錆材")</f>
        <v/>
      </c>
      <c r="C176" s="126" t="str">
        <f>IF(D145="　","",IF(MID(D145,1,2)="除去","","自由長部塗布"))</f>
        <v/>
      </c>
      <c r="D176" s="35"/>
      <c r="E176" s="35"/>
      <c r="F176" s="35"/>
      <c r="G176" s="128" t="str">
        <f>IF(MID(D145,1,2)="除去","","W=(自由長-0.5m)×鋼線本数×0.0646kg")</f>
        <v/>
      </c>
      <c r="H176" s="35"/>
      <c r="I176" s="125"/>
      <c r="J176" s="48" t="str">
        <f>IF(MID(D145,1,2)="除去","","kg")</f>
        <v/>
      </c>
      <c r="K176" s="6" t="str">
        <f>IF(D145="　","",IF(MID(D145,1,2)="除去","",MROUND((D151+D153-0.5)*MID(D145,6,2)*0.0646,0.1)))</f>
        <v/>
      </c>
      <c r="L176" s="30" t="str">
        <f>IFERROR(D150*K176,"")</f>
        <v/>
      </c>
    </row>
    <row r="177" spans="2:12" ht="12" customHeight="1">
      <c r="B177" s="6" t="str">
        <f>IF(D147="なし","",B147)</f>
        <v>土留め台座</v>
      </c>
      <c r="C177" s="34" t="str" cm="1">
        <f t="array" ref="C177">IF(D145="　","",IF(D147="なし","",_xlfn.IFS(MID(B147,1,3)="のり面",_xlfn.IFS(VALUE(MID(D145,6,2))&lt;5,"ST170",VALUE(MID(D145,6,2))&lt;8,"ST200",VALUE(MID(D145,6,2))&lt;13,"ST200")&amp;"、FCD450相当",OR(MID(B147,1,3)="構造物",MID(B147,1,3)="土留め"),D145&amp;"用"&amp;IF(OR(MID(B147,1,3)="構造物",D148="　"),"",D148&amp;"/"&amp;E148))&amp;"、防食："&amp;_xlfn.IFS(D146="防食Ⅰ","無処理",D146="防食Ⅱ","亜鉛めっき処理",D146="防食Ⅲ","ｱﾙﾐﾅｲｽﾞ処理")))</f>
        <v>除去J5-6用DA660/H350、防食：亜鉛めっき処理</v>
      </c>
      <c r="D177" s="35"/>
      <c r="E177" s="35"/>
      <c r="F177" s="36"/>
      <c r="G177" s="52" t="str">
        <f>IF(D147="なし","","N=1")</f>
        <v>N=1</v>
      </c>
      <c r="H177" s="64"/>
      <c r="I177" s="53"/>
      <c r="J177" s="7" t="str">
        <f>IF(D147="なし","","台")</f>
        <v>台</v>
      </c>
      <c r="K177" s="130" t="str">
        <f>IF(D145="　","",MID(G177,3,2))</f>
        <v>1</v>
      </c>
      <c r="L177" s="30">
        <f>IF(K177="","",D150*K177)</f>
        <v>18</v>
      </c>
    </row>
    <row r="178" spans="2:12" ht="12" customHeight="1">
      <c r="B178" s="6" t="str">
        <f>IF(D149="なし","","フリーパッカー注入ホース")</f>
        <v/>
      </c>
      <c r="C178" s="34" t="str">
        <f>IF(D145="　","",IF(B178="","","16/20"))</f>
        <v/>
      </c>
      <c r="D178" s="35"/>
      <c r="E178" s="35"/>
      <c r="F178" s="36"/>
      <c r="G178" s="127" t="str">
        <f>IF(B178="","","L=自由長+頭部自由長+緊張余長")</f>
        <v/>
      </c>
      <c r="H178" s="64"/>
      <c r="I178" s="53"/>
      <c r="J178" s="7" t="str">
        <f>IF(D149="なし","","m")</f>
        <v/>
      </c>
      <c r="K178" s="6" t="str">
        <f>IF(D145="　","",IF(B178="","",MROUND(SUM(D151,D153:D154),0.1)))</f>
        <v/>
      </c>
      <c r="L178" s="30" t="str">
        <f>IF(K178="","",D150*K178)</f>
        <v/>
      </c>
    </row>
    <row r="179" spans="2:12" ht="12" customHeight="1">
      <c r="B179" s="6" t="str">
        <f>IF(D149="なし","","フリーパッカー")</f>
        <v/>
      </c>
      <c r="C179" s="52" t="str">
        <f>IF(D145="　","",_xlfn.SINGLE(IF(B178="","",_xlfn.IFS(D157=90,"PA-170",D157=115,"PA-200",D157&lt;147,"PA-240",D157&gt;147,"PA-350"))))</f>
        <v/>
      </c>
      <c r="D179" s="35"/>
      <c r="E179" s="35"/>
      <c r="F179" s="36"/>
      <c r="G179" s="129" t="str">
        <f>IF(B179="","","L=自由長+0.5m")</f>
        <v/>
      </c>
      <c r="H179" s="80"/>
      <c r="I179" s="81"/>
      <c r="J179" s="7" t="str">
        <f>IF(D149="なし","","m")</f>
        <v/>
      </c>
      <c r="K179" s="30" t="str">
        <f>IF(D145="　","",IF(B179="","",MROUND(D151+0.5,0.1)))</f>
        <v/>
      </c>
      <c r="L179" s="30" t="str">
        <f>IF(K179="","",D150*K179)</f>
        <v/>
      </c>
    </row>
    <row r="180" spans="2:12" ht="12" customHeight="1">
      <c r="B180" s="6" t="str">
        <f>IF(D149="なし","","パッカー取付加工")</f>
        <v/>
      </c>
      <c r="C180" s="34"/>
      <c r="D180" s="35"/>
      <c r="E180" s="35"/>
      <c r="F180" s="36"/>
      <c r="G180" s="52" t="str">
        <f>IF(B180="","","N=1")</f>
        <v/>
      </c>
      <c r="H180" s="64"/>
      <c r="I180" s="53"/>
      <c r="J180" s="7" t="str">
        <f>IF(D149="なし","","式")</f>
        <v/>
      </c>
      <c r="K180" s="130" t="str">
        <f>IF(D145="　","",MID(G180,3,2))</f>
        <v/>
      </c>
      <c r="L180" s="30" t="str">
        <f>IF(K180="","",D150*K180)</f>
        <v/>
      </c>
    </row>
    <row r="181" spans="2:12" ht="12" customHeight="1">
      <c r="B181" s="9"/>
      <c r="C181" s="52"/>
      <c r="D181" s="35"/>
      <c r="E181" s="35"/>
      <c r="F181" s="36"/>
      <c r="G181" s="57"/>
      <c r="H181" s="65"/>
      <c r="I181" s="107"/>
      <c r="J181" s="10"/>
      <c r="K181" s="30"/>
      <c r="L181" s="30"/>
    </row>
    <row r="182" spans="2:12" ht="12" customHeight="1">
      <c r="B182" s="11"/>
      <c r="C182" s="42"/>
      <c r="D182" s="37"/>
      <c r="E182" s="37"/>
      <c r="F182" s="38"/>
      <c r="G182" s="58"/>
      <c r="H182" s="66"/>
      <c r="I182" s="54"/>
      <c r="J182" s="12"/>
      <c r="K182" s="11"/>
      <c r="L182" s="11"/>
    </row>
    <row r="183" spans="2:12" ht="12" customHeight="1">
      <c r="B183" s="14" t="s">
        <v>30</v>
      </c>
      <c r="C183" s="43" t="s">
        <v>31</v>
      </c>
      <c r="D183" s="40"/>
      <c r="E183" s="40"/>
      <c r="F183" s="41"/>
      <c r="G183" s="59" t="s">
        <v>56</v>
      </c>
      <c r="H183" s="67"/>
      <c r="I183" s="108"/>
      <c r="J183" s="2" t="s">
        <v>55</v>
      </c>
      <c r="K183" s="31">
        <f>IFERROR(MROUND(0.25*PI()*(0.001*D160)^2*(D151+D152+D157+D159)*(1+2.2),0.01),"")</f>
        <v>0.38</v>
      </c>
      <c r="L183" s="31">
        <f>IFERROR(D150*K183,"")</f>
        <v>6.84</v>
      </c>
    </row>
    <row r="186" spans="2:12" ht="12" customHeight="1">
      <c r="B186" s="251" t="s">
        <v>80</v>
      </c>
      <c r="C186" s="251"/>
      <c r="D186" s="251"/>
      <c r="E186" s="251"/>
    </row>
    <row r="187" spans="2:12" ht="12" customHeight="1">
      <c r="B187" s="15" t="s">
        <v>94</v>
      </c>
      <c r="C187" s="15"/>
      <c r="D187" s="1"/>
      <c r="E187" s="1"/>
      <c r="F187" s="1"/>
    </row>
    <row r="188" spans="2:12" ht="12" customHeight="1">
      <c r="B188" s="111" t="s">
        <v>77</v>
      </c>
      <c r="C188" s="3"/>
      <c r="D188" t="str">
        <f>IF(AND(MID(D191,1,2)="残置",MID(D192,3,1)&lt;&gt;"Ⅰ"),"【注意】 残置アンカーは、防食Ⅰ限定です。EHDアンカーに変更してください。","")</f>
        <v/>
      </c>
      <c r="E188" s="1"/>
      <c r="F188" s="1"/>
      <c r="G188" s="8"/>
      <c r="H188" s="8"/>
      <c r="I188" s="102"/>
      <c r="J188" s="28"/>
    </row>
    <row r="189" spans="2:12" ht="12" customHeight="1">
      <c r="B189" s="15" t="s">
        <v>40</v>
      </c>
      <c r="C189" s="3"/>
      <c r="D189" s="1"/>
      <c r="E189" s="1"/>
      <c r="F189" s="1"/>
      <c r="G189" s="15" t="s">
        <v>54</v>
      </c>
      <c r="H189" s="15"/>
      <c r="I189" s="102"/>
      <c r="J189" s="28"/>
    </row>
    <row r="190" spans="2:12" ht="12" customHeight="1">
      <c r="B190" s="2" t="s">
        <v>53</v>
      </c>
      <c r="C190" s="2" t="s">
        <v>21</v>
      </c>
      <c r="D190" s="2" t="s">
        <v>22</v>
      </c>
      <c r="E190" s="2" t="s">
        <v>84</v>
      </c>
      <c r="F190" s="17"/>
      <c r="G190" s="2" t="s">
        <v>41</v>
      </c>
      <c r="H190" s="97" t="s">
        <v>59</v>
      </c>
      <c r="I190" s="49" t="s">
        <v>44</v>
      </c>
      <c r="J190" s="2" t="s">
        <v>21</v>
      </c>
      <c r="K190" s="49" t="s">
        <v>29</v>
      </c>
      <c r="L190" s="2" t="s">
        <v>28</v>
      </c>
    </row>
    <row r="191" spans="2:12" ht="12" customHeight="1">
      <c r="B191" s="51" t="s">
        <v>37</v>
      </c>
      <c r="C191" s="50" t="s">
        <v>38</v>
      </c>
      <c r="D191" s="70" t="s">
        <v>79</v>
      </c>
      <c r="E191" s="137" t="s">
        <v>71</v>
      </c>
      <c r="F191" s="17"/>
      <c r="G191" s="86" t="str">
        <f>IF(D203=0,"",G192)</f>
        <v/>
      </c>
      <c r="H191" s="87" t="str">
        <f>IF(D203=0,"",H193&amp;" (背面管部）")</f>
        <v/>
      </c>
      <c r="I191" s="88" t="str">
        <f>IF(D203=0,"",D204)</f>
        <v/>
      </c>
      <c r="J191" s="89" t="str">
        <f>IF(D203=0,"","m")</f>
        <v/>
      </c>
      <c r="K191" s="90" t="str">
        <f>IF(D203=0,"",D203)</f>
        <v/>
      </c>
      <c r="L191" s="29" t="str">
        <f>IF(D203=0,"",D196*K191)</f>
        <v/>
      </c>
    </row>
    <row r="192" spans="2:12" ht="12" customHeight="1">
      <c r="B192" s="52" t="s">
        <v>39</v>
      </c>
      <c r="C192" s="91" t="s">
        <v>38</v>
      </c>
      <c r="D192" s="71" t="s">
        <v>60</v>
      </c>
      <c r="E192" s="7"/>
      <c r="F192" s="17"/>
      <c r="G192" s="68" t="s">
        <v>43</v>
      </c>
      <c r="H192" s="68" t="s">
        <v>72</v>
      </c>
      <c r="I192" s="88" t="str" cm="1">
        <f t="array" ref="I192">_xlfn.IFS(AND(G192&lt;&gt;"非削孔",G192&lt;&gt;"無設定"),D206,G192="非削孔",IF(MID(B193,1,3)="土留め","非削孔","箱抜き"),G192="無設定","無設定")</f>
        <v>非削孔</v>
      </c>
      <c r="J192" s="23" t="str">
        <f>IF(G192="無設定","","m")</f>
        <v>m</v>
      </c>
      <c r="K192" s="69">
        <v>0.8</v>
      </c>
      <c r="L192" s="30">
        <f>D196*K192</f>
        <v>14.4</v>
      </c>
    </row>
    <row r="193" spans="2:12" ht="12" customHeight="1">
      <c r="B193" s="115" t="s">
        <v>70</v>
      </c>
      <c r="C193" s="91" t="s">
        <v>38</v>
      </c>
      <c r="D193" s="83" t="s">
        <v>52</v>
      </c>
      <c r="E193" s="139" t="str">
        <f>IF(OR(MID(B193,1,3)&lt;&gt;"土留め",D193="なし"),"","腹起し")</f>
        <v>腹起し</v>
      </c>
      <c r="F193" s="19"/>
      <c r="G193" s="68" t="s">
        <v>49</v>
      </c>
      <c r="H193" s="68" t="s">
        <v>68</v>
      </c>
      <c r="I193" s="88" cm="1">
        <f t="array" ref="I193">_xlfn.IFS(AND(G193&lt;&gt;"非削孔",G193&lt;&gt;"無設定"),D206,G193="非削孔","箱抜き",G193="無設定","無設定")</f>
        <v>135</v>
      </c>
      <c r="J193" s="23" t="str">
        <f t="shared" ref="J193:J201" si="4">IF(G193="無設定","","m")</f>
        <v>m</v>
      </c>
      <c r="K193" s="69">
        <v>8</v>
      </c>
      <c r="L193" s="30">
        <f>D196*K193</f>
        <v>144</v>
      </c>
    </row>
    <row r="194" spans="2:12" ht="12" customHeight="1">
      <c r="B194" s="114" t="str">
        <f>IF(OR(MID(B193,1,3)&lt;&gt;"土留め",D193="なし"),"",B193&amp;"の種類")</f>
        <v>土留め台座の種類</v>
      </c>
      <c r="C194" s="91" t="s">
        <v>38</v>
      </c>
      <c r="D194" s="113" t="s">
        <v>66</v>
      </c>
      <c r="E194" s="122" t="s">
        <v>67</v>
      </c>
      <c r="F194" s="21"/>
      <c r="G194" s="68" t="s">
        <v>48</v>
      </c>
      <c r="H194" s="68"/>
      <c r="I194" s="88" t="str" cm="1">
        <f t="array" ref="I194">_xlfn.IFS(AND(G194&lt;&gt;"非削孔",G194&lt;&gt;"無設定"),D206,G194="非削孔","箱抜き",G194="無設定","無設定")</f>
        <v>無設定</v>
      </c>
      <c r="J194" s="23" t="str">
        <f t="shared" si="4"/>
        <v/>
      </c>
      <c r="K194" s="69">
        <v>0</v>
      </c>
      <c r="L194" s="30">
        <f>D196*K194</f>
        <v>0</v>
      </c>
    </row>
    <row r="195" spans="2:12" ht="12" customHeight="1">
      <c r="B195" s="147" t="s">
        <v>50</v>
      </c>
      <c r="C195" s="91" t="s">
        <v>38</v>
      </c>
      <c r="D195" s="83" t="s">
        <v>51</v>
      </c>
      <c r="E195" s="19"/>
      <c r="F195" s="21"/>
      <c r="G195" s="68" t="s">
        <v>48</v>
      </c>
      <c r="H195" s="68"/>
      <c r="I195" s="88" t="str" cm="1">
        <f t="array" ref="I195">_xlfn.IFS(AND(G195&lt;&gt;"非削孔",G195&lt;&gt;"無設定"),D206,G195="非削孔","箱抜き",G195="無設定","無設定")</f>
        <v>無設定</v>
      </c>
      <c r="J195" s="23" t="str">
        <f t="shared" si="4"/>
        <v/>
      </c>
      <c r="K195" s="69">
        <v>0</v>
      </c>
      <c r="L195" s="30">
        <f>D196*K195</f>
        <v>0</v>
      </c>
    </row>
    <row r="196" spans="2:12" ht="12" customHeight="1">
      <c r="B196" s="22" t="s">
        <v>25</v>
      </c>
      <c r="C196" s="23" t="s">
        <v>24</v>
      </c>
      <c r="D196" s="92">
        <v>18</v>
      </c>
      <c r="E196" s="21"/>
      <c r="F196" s="21"/>
      <c r="G196" s="68" t="s">
        <v>48</v>
      </c>
      <c r="H196" s="68"/>
      <c r="I196" s="88" t="str" cm="1">
        <f t="array" ref="I196">_xlfn.IFS(AND(G196&lt;&gt;"非削孔",G196&lt;&gt;"無設定"),D206,G196="非削孔","箱抜き",G196="無設定","無設定")</f>
        <v>無設定</v>
      </c>
      <c r="J196" s="23" t="str">
        <f t="shared" si="4"/>
        <v/>
      </c>
      <c r="K196" s="69">
        <v>0</v>
      </c>
      <c r="L196" s="30">
        <f>D196*K196</f>
        <v>0</v>
      </c>
    </row>
    <row r="197" spans="2:12" ht="12" customHeight="1">
      <c r="B197" s="22" t="s">
        <v>108</v>
      </c>
      <c r="C197" s="23" t="s">
        <v>23</v>
      </c>
      <c r="D197" s="47">
        <v>4</v>
      </c>
      <c r="E197" s="21"/>
      <c r="F197" s="21"/>
      <c r="G197" s="68" t="s">
        <v>61</v>
      </c>
      <c r="H197" s="68"/>
      <c r="I197" s="88" t="str" cm="1">
        <f t="array" ref="I197">_xlfn.IFS(AND(G197&lt;&gt;"非削孔",G197&lt;&gt;"無設定"),D206,G197="非削孔","箱抜き",G197="無設定","無設定")</f>
        <v>無設定</v>
      </c>
      <c r="J197" s="23" t="str">
        <f t="shared" si="4"/>
        <v/>
      </c>
      <c r="K197" s="69">
        <v>0</v>
      </c>
      <c r="L197" s="30">
        <f>D196*K197</f>
        <v>0</v>
      </c>
    </row>
    <row r="198" spans="2:12" ht="12" customHeight="1">
      <c r="B198" s="22" t="s">
        <v>36</v>
      </c>
      <c r="C198" s="23" t="s">
        <v>23</v>
      </c>
      <c r="D198" s="47">
        <v>4</v>
      </c>
      <c r="E198" s="21"/>
      <c r="F198" s="21"/>
      <c r="G198" s="68" t="s">
        <v>48</v>
      </c>
      <c r="H198" s="68"/>
      <c r="I198" s="88" t="str" cm="1">
        <f t="array" ref="I198">_xlfn.IFS(AND(G198&lt;&gt;"非削孔",G198&lt;&gt;"無設定"),D206,G198="非削孔","箱抜き",G198="無設定","無設定")</f>
        <v>無設定</v>
      </c>
      <c r="J198" s="23" t="str">
        <f t="shared" si="4"/>
        <v/>
      </c>
      <c r="K198" s="69">
        <v>0</v>
      </c>
      <c r="L198" s="30">
        <f>D196*K198</f>
        <v>0</v>
      </c>
    </row>
    <row r="199" spans="2:12" ht="12" customHeight="1">
      <c r="B199" s="148" t="str" cm="1">
        <f t="array" ref="B199">"頭部自由長("&amp;_xlfn.IFS(AND(MID(B193,1,3)="土留め",D193="あり"),"腹起し+台座",AND(MID(B193,1,3)="土留め",D193="なし"),"台座なし",AND(MID(B193,1,3)="構造物",D193="あり"),"壁面台座",AND(MID(B193,1,3)="構造物",D193="なし"),"台座なし",AND(MID(B193,1,3)="のり面",D193="あり"),"角度台座＋受圧体",AND(MID(B193,1,3)="のり面",D193="なし"),"受圧体")&amp;")　"&amp;"Lfh"</f>
        <v>頭部自由長(腹起し+台座)　Lfh</v>
      </c>
      <c r="C199" s="23" t="s">
        <v>23</v>
      </c>
      <c r="D199" s="47">
        <v>0.8</v>
      </c>
      <c r="E199" s="21"/>
      <c r="F199" s="21"/>
      <c r="G199" s="68" t="s">
        <v>48</v>
      </c>
      <c r="H199" s="68"/>
      <c r="I199" s="88" t="str" cm="1">
        <f t="array" ref="I199">_xlfn.IFS(AND(G199&lt;&gt;"非削孔",G199&lt;&gt;"無設定"),D206,G199="非削孔","箱抜き",G199="無設定","無設定")</f>
        <v>無設定</v>
      </c>
      <c r="J199" s="23" t="str">
        <f t="shared" si="4"/>
        <v/>
      </c>
      <c r="K199" s="69">
        <v>0</v>
      </c>
      <c r="L199" s="30">
        <f>D196*K199</f>
        <v>0</v>
      </c>
    </row>
    <row r="200" spans="2:12" ht="12" customHeight="1">
      <c r="B200" s="146" t="s">
        <v>69</v>
      </c>
      <c r="C200" s="23" t="s">
        <v>23</v>
      </c>
      <c r="D200" s="24">
        <f>IF(D191="　","──",IF(MID(D191,6,2)*IF(MID(D191,4,1)="5",183,261)*IF(MID(D192,3,1)="Ⅰ",0.65,0.6)*IF(MID(D191,1,2)="除去",0.9,1)&lt;=700,1,1.5))</f>
        <v>1.5</v>
      </c>
      <c r="E200" s="120"/>
      <c r="G200" s="68" t="s">
        <v>48</v>
      </c>
      <c r="H200" s="68"/>
      <c r="I200" s="88" t="str" cm="1">
        <f t="array" ref="I200">_xlfn.IFS(AND(G200&lt;&gt;"非削孔",G200&lt;&gt;"無設定"),D206,G200="非削孔","箱抜き",G200="無設定","無設定")</f>
        <v>無設定</v>
      </c>
      <c r="J200" s="23" t="str">
        <f t="shared" si="4"/>
        <v/>
      </c>
      <c r="K200" s="69">
        <v>0</v>
      </c>
      <c r="L200" s="30">
        <f>D196*K200</f>
        <v>0</v>
      </c>
    </row>
    <row r="201" spans="2:12" ht="12" customHeight="1">
      <c r="B201" s="6" t="s">
        <v>109</v>
      </c>
      <c r="C201" s="23" t="s">
        <v>23</v>
      </c>
      <c r="D201" s="60">
        <f>IF(D191="　","──",SUM(D197:D200))</f>
        <v>10.3</v>
      </c>
      <c r="E201" s="121"/>
      <c r="F201" s="19"/>
      <c r="G201" s="99" t="str" cm="1">
        <f t="array" ref="G201">INDEX(G192:I200,MATCH("無設定",G192:G200,0)-1,MATCH(G190,G190:I190,0))</f>
        <v>軟　岩</v>
      </c>
      <c r="H201" s="100" t="str" cm="1">
        <f t="array" ref="H201">INDEX(G192:I200,MATCH("無設定",G192:G200,0)-1,MATCH(H190,G190:I190,0))&amp;"　(先端削孔長)"</f>
        <v>CL～CM　(先端削孔長)</v>
      </c>
      <c r="I201" s="88" cm="1">
        <f t="array" ref="I201">INDEX(G192:I200,MATCH("無設定",G192:G200,0)-1,MATCH(I190,G190:I190,0))</f>
        <v>135</v>
      </c>
      <c r="J201" s="23" t="str">
        <f t="shared" si="4"/>
        <v>m</v>
      </c>
      <c r="K201" s="98">
        <f>D205</f>
        <v>0.2</v>
      </c>
      <c r="L201" s="78">
        <f>IFERROR(D196*K201,"")</f>
        <v>3.6</v>
      </c>
    </row>
    <row r="202" spans="2:12" ht="12" customHeight="1">
      <c r="B202" s="22" t="s">
        <v>75</v>
      </c>
      <c r="C202" s="23" t="s">
        <v>35</v>
      </c>
      <c r="D202" s="84">
        <f>IF(D191="　","──",IF(MID(D191,1,2)="除去",0,0.2))</f>
        <v>0</v>
      </c>
      <c r="E202" s="123"/>
      <c r="F202" s="19"/>
      <c r="G202" s="72"/>
      <c r="H202" s="75" t="s">
        <v>45</v>
      </c>
      <c r="I202" s="103"/>
      <c r="J202" s="18" t="s">
        <v>23</v>
      </c>
      <c r="K202" s="74">
        <f>SUMIFS(K191:K201,G191:G201,"&lt;&gt;非削孔",G191:G201,"&lt;&gt;無設定")</f>
        <v>8.1999999999999993</v>
      </c>
      <c r="L202" s="95">
        <f>SUMIFS(L191:L201,G191:G201,"&lt;&gt;非削孔",G191:G201,"&lt;&gt;無設定")</f>
        <v>147.6</v>
      </c>
    </row>
    <row r="203" spans="2:12" ht="12" customHeight="1">
      <c r="B203" s="22" t="s">
        <v>73</v>
      </c>
      <c r="C203" s="23" t="s">
        <v>35</v>
      </c>
      <c r="D203" s="85">
        <v>0</v>
      </c>
      <c r="E203" s="123"/>
      <c r="F203" s="19"/>
      <c r="G203" s="73"/>
      <c r="H203" s="76" t="s">
        <v>47</v>
      </c>
      <c r="I203" s="104"/>
      <c r="J203" s="79" t="s">
        <v>46</v>
      </c>
      <c r="K203" s="77" t="str">
        <f>IF(D191="　","",IF(SUM(D197:D199,D203,D205)=K202+SUMIFS(K191:K201,G191:G201,"=非削孔"),"OK","NG"))</f>
        <v>OK</v>
      </c>
      <c r="L203" s="145" t="str">
        <f>IF(K203&lt;&gt;"NG","──",K202+SUMIFS(K191:K201,G191:G201,"=非削孔")-SUM(D197:D199,D203,D205))</f>
        <v>──</v>
      </c>
    </row>
    <row r="204" spans="2:12" ht="12" customHeight="1">
      <c r="B204" s="22" t="str">
        <f>IF(D191="　","",IF(D203=0,"","頭部背面管削孔径　Dh"))</f>
        <v/>
      </c>
      <c r="C204" s="23" t="str">
        <f>IF(D191="　","",IF(D203=0,"","mm"))</f>
        <v/>
      </c>
      <c r="D204" s="93" t="str" cm="1">
        <f t="array" ref="D204">IF(D191="　","",IF(D203=0,"",IF(MID(D191,4,1)="5",_xlfn.IFS(VALUE(MID(D191,6,2))&lt;7,115,VALUE(MID(D191,6,2))&gt;6,135),"未設定")))</f>
        <v/>
      </c>
      <c r="E204" s="121"/>
      <c r="F204" s="19"/>
      <c r="G204" s="94" t="s">
        <v>58</v>
      </c>
      <c r="H204" s="252" t="s">
        <v>62</v>
      </c>
      <c r="I204" s="253"/>
      <c r="J204" s="253"/>
      <c r="K204" s="253"/>
      <c r="L204" s="254"/>
    </row>
    <row r="205" spans="2:12" ht="12" customHeight="1">
      <c r="B205" s="25" t="s">
        <v>74</v>
      </c>
      <c r="C205" s="26" t="s">
        <v>23</v>
      </c>
      <c r="D205" s="27">
        <f>IF(MID(D191,1,2)="残置",0.25,0.2)</f>
        <v>0.2</v>
      </c>
      <c r="E205" s="117"/>
      <c r="F205" s="1"/>
      <c r="G205" s="8"/>
      <c r="H205" s="8"/>
      <c r="I205" s="102"/>
    </row>
    <row r="206" spans="2:12" ht="12" customHeight="1">
      <c r="B206" s="25" t="s">
        <v>57</v>
      </c>
      <c r="C206" s="26" t="s">
        <v>32</v>
      </c>
      <c r="D206" s="82" cm="1">
        <f t="array" ref="D206">IF(D191="　","──",IF(E206="　",_xlfn.IFS(MID(D191,1,2)="除去",IF(MID(D191,4,1)="5",135,165),MID(D191,1,2)="残置",IF(MID(D191,4,1)="5",IF(VALUE(MID(D191,6,2))&lt;8,115,135),IF(VALUE(MID(D191,6,2))&lt;10,146,165))),E206))</f>
        <v>135</v>
      </c>
      <c r="E206" s="142" t="s">
        <v>71</v>
      </c>
      <c r="F206" s="1"/>
      <c r="G206" s="8"/>
      <c r="H206" s="8"/>
      <c r="I206" s="102"/>
    </row>
    <row r="207" spans="2:12" ht="12" customHeight="1">
      <c r="F207" s="1"/>
      <c r="G207" s="8"/>
      <c r="H207" s="8"/>
      <c r="I207" s="102"/>
    </row>
    <row r="208" spans="2:12" ht="12" customHeight="1">
      <c r="B208" s="15" t="str">
        <f>"■"&amp;MID(B186,2,17)</f>
        <v>■短期仮設：KJS残置アンカー数量表</v>
      </c>
      <c r="C208" s="3"/>
      <c r="D208" s="1"/>
      <c r="E208" s="1"/>
      <c r="F208" s="1"/>
      <c r="G208" s="8"/>
      <c r="H208" s="8"/>
      <c r="I208" s="102"/>
    </row>
    <row r="209" spans="2:12" ht="12" customHeight="1">
      <c r="B209" s="2" t="s">
        <v>17</v>
      </c>
      <c r="C209" s="43"/>
      <c r="D209" s="134"/>
      <c r="E209" s="61" t="s">
        <v>78</v>
      </c>
      <c r="F209" s="135"/>
      <c r="G209" s="16"/>
      <c r="H209" s="61" t="s">
        <v>42</v>
      </c>
      <c r="I209" s="97"/>
      <c r="J209" s="2" t="s">
        <v>21</v>
      </c>
      <c r="K209" s="49" t="s">
        <v>29</v>
      </c>
      <c r="L209" s="2" t="s">
        <v>28</v>
      </c>
    </row>
    <row r="210" spans="2:12" ht="12" customHeight="1">
      <c r="B210" s="4" t="str">
        <f>IF(MID(D191,1,2)="除去","アンボンド","")&amp;"PCストランド"</f>
        <v>アンボンドPCストランド</v>
      </c>
      <c r="C210" s="39" t="str">
        <f>IF(D191="　","",D191&amp;"("&amp;MID(D191,6,2)&amp;IF(MID(D191,4,1)="5","φ12.7","φ15.2")&amp;")")</f>
        <v>除去J5-8(8φ12.7)</v>
      </c>
      <c r="D210" s="32"/>
      <c r="E210" s="32"/>
      <c r="F210" s="33"/>
      <c r="G210" s="143" t="str">
        <f>"W="&amp;IF(MID(D191,1,2)="除去","(ﾃﾝﾄﾞﾝ長+ｱﾝｶｰ体長×(1/鋼線本数-0.5))","(テンドン長+先端長0.2m)")&amp;"×鋼線本数×"&amp;IF(MID(D191,4,1)="5","0.774","1.101")&amp;"kg/m"</f>
        <v>W=(ﾃﾝﾄﾞﾝ長+ｱﾝｶｰ体長×(1/鋼線本数-0.5))×鋼線本数×0.774kg/m</v>
      </c>
      <c r="H210" s="62"/>
      <c r="I210" s="105"/>
      <c r="J210" s="5" t="s">
        <v>11</v>
      </c>
      <c r="K210" s="29">
        <f>IF(D191="　","",MROUND(IF(MID(D191,1,2)="除去",D201+D198*(1/MID(D191,6,2)-0.5),D201+D202)*MID(D191,6,2)*IF(MID(D191,4,1)="5","0.774","1.101"),0.01))</f>
        <v>54.49</v>
      </c>
      <c r="L210" s="29">
        <f>IFERROR(D196*K210,"")</f>
        <v>980.82</v>
      </c>
    </row>
    <row r="211" spans="2:12" ht="12" customHeight="1">
      <c r="B211" s="6" t="s">
        <v>20</v>
      </c>
      <c r="C211" s="34"/>
      <c r="D211" s="35"/>
      <c r="E211" s="35"/>
      <c r="F211" s="36"/>
      <c r="G211" s="56" t="str">
        <f>"L=テンドン長"&amp;IF(MID(D191,1,2)="除去","+アンカー体長×(1/鋼線本数-0.5))","")</f>
        <v>L=テンドン長+アンカー体長×(1/鋼線本数-0.5))</v>
      </c>
      <c r="H211" s="63"/>
      <c r="I211" s="106"/>
      <c r="J211" s="7" t="s">
        <v>12</v>
      </c>
      <c r="K211" s="30">
        <f>IF(D191="　","",MROUND(D201+IF(MID(D191,1,2)="除去",D198*(1/MID(D191,6,2)-0.5),0),0.1))</f>
        <v>8.8000000000000007</v>
      </c>
      <c r="L211" s="30">
        <f>IFERROR(D196*K211,"")</f>
        <v>158.4</v>
      </c>
    </row>
    <row r="212" spans="2:12" ht="12" customHeight="1">
      <c r="B212" s="6" t="str">
        <f>IF(MID(D191,1,2)="除去","耐荷体","注入ホース")</f>
        <v>耐荷体</v>
      </c>
      <c r="C212" s="34" t="str" cm="1">
        <f t="array" ref="C212">IF(D191="　","",IF(MID(D191,1,2)="除去",IF(MID(D191,1,2)="除去",MID(D191,3,2)&amp;"用Bタイプ、FCD450相当"&amp;_xlfn.IFS(MID(D192,3,1)="Ⅰ","",MID(D192,3,1)="Ⅱ","、亜鉛めっき処理",MID(D192,3,1)="Ⅲ","、ｱﾙﾐﾅｲｽﾞ処理"),""),"1/2″"))</f>
        <v>J5用Bタイプ、FCD450相当、亜鉛めっき処理</v>
      </c>
      <c r="D212" s="35"/>
      <c r="E212" s="35"/>
      <c r="F212" s="36"/>
      <c r="G212" s="127" t="str">
        <f>IF(MID(D191,1,2)="除去","N="&amp;0.5*MID(D191,6,2),"L=テンドン長")</f>
        <v>N=4</v>
      </c>
      <c r="H212" s="63"/>
      <c r="I212" s="106"/>
      <c r="J212" s="7" t="str">
        <f>IF(MID(D191,1,2)="除去","個","m")</f>
        <v>個</v>
      </c>
      <c r="K212" s="130" t="str">
        <f>IF(D191="　","",IF(MID(D191,1,2)="除去",MID(G212,3,2),MROUND(D201,0.1)))</f>
        <v>4</v>
      </c>
      <c r="L212" s="30">
        <f>IFERROR(D196*K212,"")</f>
        <v>72</v>
      </c>
    </row>
    <row r="213" spans="2:12" ht="12" customHeight="1">
      <c r="B213" s="109" t="str">
        <f>IF(MID(D191,1,2)="除去","結束テープ","パイロットキャップ")</f>
        <v>結束テープ</v>
      </c>
      <c r="C213" s="34" t="str" cm="1">
        <f t="array" ref="C213">IF(D191="　","",IF(MID(D191,1,2)="除去","","Ｊ"&amp;IF(MID(D191,4,1)="5",_xlfn.IFS(VALUE(MID(D191,6,2))&lt;5,"5-4",VALUE(MID(D191,6,2))&lt;8,"5-7",VALUE(MID(D191,6,2))&lt;10,"5-9",VALUE(MID(D191,6,2))&gt;9,"5-12"),_xlfn.IFS(VALUE(MID(D191,6,2))&lt;10,"6-9",VALUE(MID(D191,6,2))&lt;13,"6-12",VALUE(MID(D191,6,2))&gt;12,"6-19"))&amp;"用、"&amp;IF(AND(MID(D191,4,1)="6",VALUE(MID(D191,6,2))&gt;9),"AC2A","ポリプロピレン")))</f>
        <v/>
      </c>
      <c r="D213" s="35"/>
      <c r="E213" s="35"/>
      <c r="F213" s="36"/>
      <c r="G213" s="52" t="str">
        <f>IF(MID(D191,1,2)="除去","L=(自由長+頭部自由長+緊張余長)÷2.0mピッチ","N=1")</f>
        <v>L=(自由長+頭部自由長+緊張余長)÷2.0mピッチ</v>
      </c>
      <c r="H213" s="110"/>
      <c r="I213" s="53"/>
      <c r="J213" s="7" t="str">
        <f>IF(MID(D191,1,2)="除去","m","個")</f>
        <v>m</v>
      </c>
      <c r="K213" s="130">
        <f>IF(D191="　","",IF(MID(D191,1,2)="除去",MROUND(SUM(D197,D199:D200)/2,0.01),MID(G213,3,2)))</f>
        <v>3.15</v>
      </c>
      <c r="L213" s="30">
        <f>IFERROR(D196*K213,"")</f>
        <v>56.699999999999996</v>
      </c>
    </row>
    <row r="214" spans="2:12" ht="12" customHeight="1">
      <c r="B214" s="109" t="str">
        <f>IF(MID(D191,1,2)="除去",IF(D192="防食Ⅰ","アンカープレート","溝付アンカープレート"),"スペーサ")</f>
        <v>溝付アンカープレート</v>
      </c>
      <c r="C214" s="96" t="str" cm="1">
        <f t="array" ref="C214">IF(D191="　","",_xlfn.SINGLE(IF(MID(D191,1,2)="除去","J"&amp;_xlfn.SINGLE(IF(MID(D191,4,1)="5",_xlfn.IFS(VALUE(MID(D191,6,2))&lt;3,"5-2",VALUE(MID(D191,6,2))&lt;5,"5-4",VALUE(MID(D191,6,2))&lt;7,"5-7",VALUE(MID(D191,6,2))&lt;10,"5-9",VALUE(MID(D191,6,2))&gt;9,"5-12"),_xlfn.IFS(VALUE(MID(D191,6,2))&lt;13,"6-12")))&amp;"用、"&amp;IF(D192="防食Ⅰ","SS400相当","SS400・STKM13A相当、防食：")&amp;_xlfn.IFS(D192="防食Ⅰ","無処理",D192="防食Ⅱ","亜鉛めっき処理",D192="防食Ⅲ","ｱﾙﾐﾅｲｽﾞ処理"),"J"&amp;IF(MID(D191,4,1)="5",_xlfn.IFS(VALUE(MID(D191,6,2))&lt;8,"5-7",VALUE(MID(D191,6,2))&gt;7,"5-12"),_xlfn.IFS(VALUE(MID(D191,6,2))&lt;8,"6-7",VALUE(MID(D191,6,2))&lt;13,"6-12",VALUE(MID(D191,6,2))&gt;12,"6-19"))&amp;"用、"&amp;IF(AND(MID(D191,4,1)="6",VALUE(MID(D191,6,2))&gt;9),"AC2B","ポリプロピレン"))))</f>
        <v>J5-9用、SS400・STKM13A相当、防食：亜鉛めっき処理</v>
      </c>
      <c r="D214" s="35"/>
      <c r="E214" s="35"/>
      <c r="F214" s="36"/>
      <c r="G214" s="127" t="str">
        <f>IF(MID(D191,1,2)="除去","N=1","N=アンカー体÷1.0mピッチ")</f>
        <v>N=1</v>
      </c>
      <c r="H214" s="63"/>
      <c r="I214" s="106"/>
      <c r="J214" s="7" t="str">
        <f>IF(MID(D191,1,2)="除去","枚","m")</f>
        <v>枚</v>
      </c>
      <c r="K214" s="130" t="str">
        <f>IF(D191="　","",IF(D191="　","",IF(MID(D191,1,2)="除去",MID(G214,3,2),MROUND(D198/1,1))))</f>
        <v>1</v>
      </c>
      <c r="L214" s="30">
        <f>IFERROR(D196*K214,"")</f>
        <v>18</v>
      </c>
    </row>
    <row r="215" spans="2:12" ht="12" customHeight="1">
      <c r="B215" s="109" t="str">
        <f>IF(MID(D191,1,2)="除去","アンカーヘッド","結束バンド")</f>
        <v>アンカーヘッド</v>
      </c>
      <c r="C215" s="34" t="str">
        <f>IF(D191="　","",IF(MID(D191,1,2)="除去","J"&amp;IF(MID(D191,4,1)="5",_xlfn.IFS(VALUE(MID(D191,6,2))&lt;3,"5-2",VALUE(MID(D191,6,2))&lt;4,"5-3",VALUE(MID(D191,6,2))&lt;5,"5-4",VALUE(MID(D191,6,2))&lt;8,"5-7",VALUE(MID(D191,6,2))&lt;10,"5-9",VALUE(MID(D191,6,2))&gt;9,"5-12"),_xlfn.IFS(VALUE(MID(D191,6,2))&lt;8,"6-7",VALUE(MID(D191,6,2))&gt;7,"6-12"))&amp;"用、S45C相当","AB350、66ナイロン"))</f>
        <v>J5-9用、S45C相当</v>
      </c>
      <c r="D215" s="35"/>
      <c r="E215" s="35"/>
      <c r="F215" s="36"/>
      <c r="G215" s="127" t="str">
        <f>IF(MID(D191,1,2)="除去","N=1","N=スペーサ数×2")</f>
        <v>N=1</v>
      </c>
      <c r="H215" s="63"/>
      <c r="I215" s="106"/>
      <c r="J215" s="7" t="str">
        <f>IF(MID(D191,1,2)="除去","個","本")</f>
        <v>個</v>
      </c>
      <c r="K215" s="130" t="str">
        <f>IF(D191="　","",IF(MID(D191,1,2)="除去",MID(G215,3,2),2*K214))</f>
        <v>1</v>
      </c>
      <c r="L215" s="30">
        <f>IFERROR(D196*K215,"")</f>
        <v>18</v>
      </c>
    </row>
    <row r="216" spans="2:12" ht="12" customHeight="1">
      <c r="B216" s="6" t="str">
        <f>IF(MID(D191,1,2)="除去","くさび","ポリホース")</f>
        <v>くさび</v>
      </c>
      <c r="C216" s="34" t="str">
        <f>IF(D191="　","",IF(MID(D191,1,2)="除去",MID(D191,3,5)&amp;"用、"&amp;IF(MID(D191,4,1)="5","φ12.7","φ15.2")&amp;"、SCM415相当","1-1/2″"))</f>
        <v>J5-8用、φ12.7、SCM415相当</v>
      </c>
      <c r="D216" s="35"/>
      <c r="E216" s="35"/>
      <c r="F216" s="36"/>
      <c r="G216" s="127" t="str">
        <f>IF(MID(D191,1,2)="除去","N="&amp;MID(D191,6,2),"L=自由長-0.5m")</f>
        <v>N=8</v>
      </c>
      <c r="H216" s="63"/>
      <c r="I216" s="106"/>
      <c r="J216" s="7" t="str">
        <f>IF(MID(D191,1,2)="除去","組","m")</f>
        <v>組</v>
      </c>
      <c r="K216" s="130" t="str">
        <f>IF(D191="　","",IF(MID(D191,1,2)="除去",MID(G216,3,2),D197+D199-0.5))</f>
        <v>8</v>
      </c>
      <c r="L216" s="30">
        <f>IFERROR(D196*K216,"")</f>
        <v>144</v>
      </c>
    </row>
    <row r="217" spans="2:12" ht="12" customHeight="1">
      <c r="B217" s="6" t="str">
        <f>IF(MID(D191,1,2)="除去",IF(D192="防食Ⅰ","","ヘッドキャップ"),"アンカープレート")</f>
        <v>ヘッドキャップ</v>
      </c>
      <c r="C217" s="96" t="str" cm="1">
        <f t="array" ref="C217">IF(D191="　","",IF(MID(D191,1,2)="除去",IF(D192="防食Ⅰ","","J"&amp;_xlfn.SINGLE(IF(MID(D191,4,1)="5",_xlfn.IFS(VALUE(MID(D191,6,2))&lt;5,"5-4",VALUE(MID(D191,6,2))&lt;8,"5-7",VALUE(MID(D191,6,2))&gt;7,"5-12"),"未設定"))&amp;"RN用、AC4C相当"&amp;IF(D192="防食Ⅱ","","、防食：タケコート処理")),"J"&amp;_xlfn.SINGLE(IF(MID(D191,4,1)="5",_xlfn.IFS(VALUE(MID(D191,6,2))&lt;3,"5-2",VALUE(MID(D191,6,2))&lt;5,"5-4",VALUE(MID(D191,6,2))&lt;7,"5-7",VALUE(MID(D191,6,2))&lt;10,"5-9",VALUE(MID(D191,6,2))&gt;9,"5-12"),_xlfn.IFS(VALUE(MID(D191,6,2))&lt;13,"6-12")))&amp;"用、"&amp;IF(D192="防食Ⅰ","SS400相当","SS400・STKM13A相当、防食：")&amp;_xlfn.IFS(D192="防食Ⅰ","、防食：無処理",D192="防食Ⅱ","、防食：亜鉛めっき",D192="防食Ⅲ","、防食：ｱﾙﾐﾅｲｽﾞ")))</f>
        <v>J5-12RN用、AC4C相当</v>
      </c>
      <c r="D217" s="44"/>
      <c r="E217" s="44"/>
      <c r="F217" s="45"/>
      <c r="G217" s="52" t="str">
        <f>IF(MID(D191,1,2)="除去","N="&amp;IF(D192="防食Ⅰ","",1),"N=1")</f>
        <v>N=1</v>
      </c>
      <c r="H217" s="64"/>
      <c r="I217" s="53"/>
      <c r="J217" s="7" t="str">
        <f>IF(MID(D191,1,2)="除去",IF(D192="防食Ⅰ","","個"),"枚")</f>
        <v>個</v>
      </c>
      <c r="K217" s="130" t="str">
        <f>IF(D191="　","",IF(MID(D191,1,2)="除去",MID(G217,3,2),MID(G217,3,2)))</f>
        <v>1</v>
      </c>
      <c r="L217" s="30">
        <f>IFERROR(D196*K217,"")</f>
        <v>18</v>
      </c>
    </row>
    <row r="218" spans="2:12" ht="12" customHeight="1">
      <c r="B218" s="6" t="str">
        <f>IF(MID(D191,1,2)="除去",IF(D192="防食Ⅰ","","頭部防錆油"),"アンカーヘッド")</f>
        <v>頭部防錆油</v>
      </c>
      <c r="C218" s="34" t="str">
        <f>IF(D191="　","",IF(MID(D191,1,2)="除去",IF(D192="防食Ⅰ","","PCコートC"),"J"&amp;IF(MID(D191,4,1)="5",_xlfn.IFS(VALUE(MID(D191,6,2))&lt;3,"5-2",VALUE(MID(D191,6,2))&lt;4,"5-3",VALUE(MID(D191,6,2))&lt;5,"5-4",VALUE(MID(D191,6,2))&lt;8,"5-7",VALUE(MID(D191,6,2))&lt;10,"5-9",VALUE(MID(D191,6,2))&gt;9,"5-12"),_xlfn.IFS(VALUE(MID(D191,6,2))&lt;8,"6-7",VALUE(MID(D191,6,2))&gt;7,"6-12"))&amp;"用、S45C相当"))</f>
        <v>PCコートC</v>
      </c>
      <c r="D218" s="35"/>
      <c r="E218" s="35"/>
      <c r="F218" s="36"/>
      <c r="G218" s="52" t="str">
        <f>IF(MID(D191,1,2)="除去","W="&amp;IF(D192="防食Ⅰ","",IF(MID(D191,4,1)="5",_xlfn.IFS(VALUE(MID(D191,6,2))&lt;4,1.8,VALUE(MID(D191,6,2))&lt;5,2,VALUE(MID(D191,6,2))&lt;8,2.7,VALUE(MID(D191,6,2))&gt;7,5),_xlfn.IFS(VALUE(MID(D191,6,2))=1,1.8,VALUE(MID(D191,6,2))&lt;3,2,VALUE(MID(D191,6,2))&lt;5,2.7,VALUE(MID(D191,6,2))&lt;8,5,VALUE(MID(D191,6,2))&gt;7,12.3))),"N=1")</f>
        <v>W=5</v>
      </c>
      <c r="H218" s="64"/>
      <c r="I218" s="53"/>
      <c r="J218" s="7" t="str">
        <f>IF(MID(D191,1,2)="除去",IF(D192="防食Ⅰ","","kg"),"個")</f>
        <v>kg</v>
      </c>
      <c r="K218" s="130" t="str">
        <f>IF(D191="　","",IF(MID(D191,1,2)="除去",MID(G218,3,4),MID(G218,3,2)))</f>
        <v>5</v>
      </c>
      <c r="L218" s="30">
        <f>IFERROR(D196*K218,"")</f>
        <v>90</v>
      </c>
    </row>
    <row r="219" spans="2:12" ht="12" customHeight="1">
      <c r="B219" s="6" t="str">
        <f>IF(MID(D191,1,2)="除去",IF(D192="防食Ⅰ","","止水具スペーサ"),"くさび")</f>
        <v>止水具スペーサ</v>
      </c>
      <c r="C219" s="34" t="str">
        <f>IF(D191="　","",IF(MID(D191,1,2)="除去",IF(D192="防食Ⅰ","",MID(D191,3,5)&amp;"用、NBR45相当"),MID(D191,3,5)&amp;"用、"&amp;IF(MID(D191,4,1)="5","φ12.7","φ15.2")&amp;"、SCM415相当"))</f>
        <v>J5-8用、NBR45相当</v>
      </c>
      <c r="D219" s="35"/>
      <c r="E219" s="35"/>
      <c r="F219" s="36"/>
      <c r="G219" s="52" t="str">
        <f>IF(D191="　","",IF(MID(D191,1,2)="除去","N="&amp;IF(D192="防食Ⅰ","",1),"N="&amp;MID(D191,6,2)))</f>
        <v>N=1</v>
      </c>
      <c r="H219" s="64"/>
      <c r="I219" s="53"/>
      <c r="J219" s="7" t="str">
        <f>IF(MID(D191,1,2)="除去",IF(D192="防食Ⅰ","","個"),"組")</f>
        <v>個</v>
      </c>
      <c r="K219" s="130" t="str">
        <f>IF(D191="　","",IF(MID(D191,1,2)="除去",MID(G219,3,2),MID(G219,3,2)))</f>
        <v>1</v>
      </c>
      <c r="L219" s="30">
        <f>IFERROR(D196*K219,"")</f>
        <v>18</v>
      </c>
    </row>
    <row r="220" spans="2:12" ht="12" customHeight="1">
      <c r="B220" s="6" t="str">
        <f>IF(MID(D191,1,2)="除去",IF(D192="防食Ⅰ","","配列スペーサ"),"サンタックシーラー")</f>
        <v>配列スペーサ</v>
      </c>
      <c r="C220" s="34" t="str">
        <f>IF(D191="　","",IF(MID(D191,1,2)="除去",IF(D192="防食Ⅰ","","J"&amp;IF(MID(D191,4,1)="5",_xlfn.IFS(VALUE(MID(D191,6,2))=3,"5-3",VALUE(MID(D191,6,2))&lt;5,"5-4",VALUE(MID(D191,6,2))&lt;8,"5-7",VALUE(MID(D191,6,2))&gt;7,"5-12"),_xlfn.IFS(VALUE(MID(D191,6,2))=3,"6-3",VALUE(MID(D191,6,2))&lt;5,"6-4",VALUE(MID(D191,6,2))&lt;8,"6-7",VALUE(MID(D191,6,2))&gt;7,"6-12"))&amp;"用、ポリエチレン"),""))</f>
        <v>J5-12用、ポリエチレン</v>
      </c>
      <c r="D220" s="35"/>
      <c r="E220" s="35"/>
      <c r="F220" s="36"/>
      <c r="G220" s="52" t="str" cm="1">
        <f t="array" ref="G220">IF(D191="　","",IF(MID(D191,1,2)="除去","N="&amp;IF(D192="防食Ⅰ","",1),"N="&amp;IF(MID(D191,4,1)="5",_xlfn.IFS(VALUE(MID(D191,6,2))&lt;5,0.03,VALUE(MID(D191,6,2))&lt;8,0.04,VALUE(MID(D191,6,2))&lt;13,0.06),_xlfn.IFS(VALUE(MID(D191,6,2))&lt;4,0.03,VALUE(MID(D191,6,2))&lt;6,0.04,VALUE(MID(D191,6,2))&lt;9,0.06,VALUE(MID(D191,6,2))&gt;8,0.09))&amp;"巻/本"))</f>
        <v>N=1</v>
      </c>
      <c r="H220" s="64"/>
      <c r="I220" s="53"/>
      <c r="J220" s="7" t="str">
        <f>IF(MID(D191,1,2)="除去",IF(D192="防食Ⅰ","","個"),"巻")</f>
        <v>個</v>
      </c>
      <c r="K220" s="130" t="str">
        <f>IF(D191="　","",IF(MID(D191,1,2)="除去",MID(G220,3,2),MID(G220,3,4)))</f>
        <v>1</v>
      </c>
      <c r="L220" s="30">
        <f>IFERROR(D196*K220,"")</f>
        <v>18</v>
      </c>
    </row>
    <row r="221" spans="2:12" ht="12" customHeight="1">
      <c r="B221" s="6" t="str">
        <f>IF(MID(D191,1,2)="除去","","結束テープ")</f>
        <v/>
      </c>
      <c r="C221" s="34" t="str">
        <f>IF(D191="　","",IF(MID(D191,1,2)="除去","",""))</f>
        <v/>
      </c>
      <c r="D221" s="35"/>
      <c r="E221" s="35"/>
      <c r="F221" s="36"/>
      <c r="G221" s="52" t="str" cm="1">
        <f t="array" ref="G221">IF(D191="　","",IF(MID(D191,1,2)="除去","","L=(自由長+緊張余長)×係数"&amp;IF(MID(D191,4,1)="5",_xlfn.IFS(VALUE(MID(D191,6,2))&lt;5,"1.0",VALUE(MID(D191,6,2))&lt;8,"1.1",VALUE(MID(D191,6,2))&lt;13,"1.2"),_xlfn.IFS(VALUE(MID(D191,6,2))&lt;4,"1.0",VALUE(MID(D191,6,2))&lt;6,"1.1",VALUE(MID(D191,6,2))&lt;9,"1.2",VALUE(MID(D191,6,2))&gt;8,"1.4"))))</f>
        <v/>
      </c>
      <c r="H221" s="64"/>
      <c r="I221" s="53"/>
      <c r="J221" s="7" t="str">
        <f>IF(MID(D191,1,2)="除去","","m")</f>
        <v/>
      </c>
      <c r="K221" s="6" t="str">
        <f>IF(D191="　","",IF(MID(D191,1,2)="除去","",MROUND(SUM(D197,D199:D200)*RIGHT(G221,3),0.1)))</f>
        <v/>
      </c>
      <c r="L221" s="30" t="str">
        <f>IFERROR(D196*K221,"")</f>
        <v/>
      </c>
    </row>
    <row r="222" spans="2:12" ht="12" customHeight="1">
      <c r="B222" s="126" t="str">
        <f>IF(MID(D191,1,2)="除去","","防錆材")</f>
        <v/>
      </c>
      <c r="C222" s="126" t="str">
        <f>IF(D191="　","",IF(MID(D191,1,2)="除去","","自由長部塗布"))</f>
        <v/>
      </c>
      <c r="D222" s="35"/>
      <c r="E222" s="35"/>
      <c r="F222" s="35"/>
      <c r="G222" s="128" t="str">
        <f>IF(MID(D191,1,2)="除去","","W=(自由長-0.5m)×鋼線本数×0.0646kg")</f>
        <v/>
      </c>
      <c r="H222" s="35"/>
      <c r="I222" s="125"/>
      <c r="J222" s="48" t="str">
        <f>IF(MID(D191,1,2)="除去","","kg")</f>
        <v/>
      </c>
      <c r="K222" s="6" t="str">
        <f>IF(D191="　","",IF(MID(D191,1,2)="除去","",MROUND((D197+D199-0.5)*MID(D191,6,2)*0.0646,0.1)))</f>
        <v/>
      </c>
      <c r="L222" s="30" t="str">
        <f>IFERROR(D196*K222,"")</f>
        <v/>
      </c>
    </row>
    <row r="223" spans="2:12" ht="12" customHeight="1">
      <c r="B223" s="6" t="str">
        <f>IF(D193="なし","",B193)</f>
        <v>土留め台座</v>
      </c>
      <c r="C223" s="34" t="str" cm="1">
        <f t="array" ref="C223">IF(D191="　","",IF(D193="なし","",_xlfn.IFS(MID(B193,1,3)="のり面",_xlfn.IFS(VALUE(MID(D191,6,2))&lt;5,"ST170",VALUE(MID(D191,6,2))&lt;8,"ST200",VALUE(MID(D191,6,2))&lt;13,"ST200")&amp;"、FCD450相当",OR(MID(B193,1,3)="構造物",MID(B193,1,3)="土留め"),D191&amp;"用"&amp;IF(OR(MID(B193,1,3)="構造物",D194="　"),"",D194&amp;"/"&amp;E194))&amp;"、防食："&amp;_xlfn.IFS(D192="防食Ⅰ","無処理",D192="防食Ⅱ","亜鉛めっき処理",D192="防食Ⅲ","ｱﾙﾐﾅｲｽﾞ処理")))</f>
        <v>除去J5-8用DA660/H350、防食：亜鉛めっき処理</v>
      </c>
      <c r="D223" s="35"/>
      <c r="E223" s="35"/>
      <c r="F223" s="36"/>
      <c r="G223" s="52" t="str">
        <f>IF(D193="なし","","N=1")</f>
        <v>N=1</v>
      </c>
      <c r="H223" s="64"/>
      <c r="I223" s="53"/>
      <c r="J223" s="7" t="str">
        <f>IF(D193="なし","","台")</f>
        <v>台</v>
      </c>
      <c r="K223" s="130" t="str">
        <f>IF(D191="　","",MID(G223,3,2))</f>
        <v>1</v>
      </c>
      <c r="L223" s="30">
        <f>IF(K223="","",D196*K223)</f>
        <v>18</v>
      </c>
    </row>
    <row r="224" spans="2:12" ht="12" customHeight="1">
      <c r="B224" s="6" t="str">
        <f>IF(D195="なし","","フリーパッカー注入ホース")</f>
        <v/>
      </c>
      <c r="C224" s="34" t="str">
        <f>IF(D191="　","",IF(B224="","","16/20"))</f>
        <v/>
      </c>
      <c r="D224" s="35"/>
      <c r="E224" s="35"/>
      <c r="F224" s="36"/>
      <c r="G224" s="127" t="str">
        <f>IF(B224="","","L=自由長+頭部自由長+緊張余長")</f>
        <v/>
      </c>
      <c r="H224" s="64"/>
      <c r="I224" s="53"/>
      <c r="J224" s="7" t="str">
        <f>IF(D195="なし","","m")</f>
        <v/>
      </c>
      <c r="K224" s="6" t="str">
        <f>IF(D191="　","",IF(B224="","",MROUND(SUM(D197,D199:D200),0.1)))</f>
        <v/>
      </c>
      <c r="L224" s="30" t="str">
        <f>IF(K224="","",D196*K224)</f>
        <v/>
      </c>
    </row>
    <row r="225" spans="2:12" ht="12" customHeight="1">
      <c r="B225" s="6" t="str">
        <f>IF(D195="なし","","フリーパッカー")</f>
        <v/>
      </c>
      <c r="C225" s="52" t="str">
        <f>IF(D191="　","",_xlfn.SINGLE(IF(B224="","",_xlfn.IFS(D203=90,"PA-170",D203=115,"PA-200",D203&lt;147,"PA-240",D203&gt;147,"PA-350"))))</f>
        <v/>
      </c>
      <c r="D225" s="35"/>
      <c r="E225" s="35"/>
      <c r="F225" s="36"/>
      <c r="G225" s="129" t="str">
        <f>IF(B225="","","L=自由長+0.5m")</f>
        <v/>
      </c>
      <c r="H225" s="80"/>
      <c r="I225" s="81"/>
      <c r="J225" s="7" t="str">
        <f>IF(D195="なし","","m")</f>
        <v/>
      </c>
      <c r="K225" s="30" t="str">
        <f>IF(D191="　","",IF(B225="","",MROUND(D197+0.5,0.1)))</f>
        <v/>
      </c>
      <c r="L225" s="30" t="str">
        <f>IF(K225="","",D196*K225)</f>
        <v/>
      </c>
    </row>
    <row r="226" spans="2:12" ht="12" customHeight="1">
      <c r="B226" s="6" t="str">
        <f>IF(D195="なし","","パッカー取付加工")</f>
        <v/>
      </c>
      <c r="C226" s="34"/>
      <c r="D226" s="35"/>
      <c r="E226" s="35"/>
      <c r="F226" s="36"/>
      <c r="G226" s="52" t="str">
        <f>IF(B226="","","N=1")</f>
        <v/>
      </c>
      <c r="H226" s="64"/>
      <c r="I226" s="53"/>
      <c r="J226" s="7" t="str">
        <f>IF(D195="なし","","式")</f>
        <v/>
      </c>
      <c r="K226" s="130" t="str">
        <f>IF(D191="　","",MID(G226,3,2))</f>
        <v/>
      </c>
      <c r="L226" s="30" t="str">
        <f>IF(K226="","",D196*K226)</f>
        <v/>
      </c>
    </row>
    <row r="227" spans="2:12" ht="12" customHeight="1">
      <c r="B227" s="9"/>
      <c r="C227" s="52"/>
      <c r="D227" s="35"/>
      <c r="E227" s="35"/>
      <c r="F227" s="36"/>
      <c r="G227" s="57"/>
      <c r="H227" s="65"/>
      <c r="I227" s="107"/>
      <c r="J227" s="10"/>
      <c r="K227" s="30"/>
      <c r="L227" s="30"/>
    </row>
    <row r="228" spans="2:12" ht="12" customHeight="1">
      <c r="B228" s="11"/>
      <c r="C228" s="42"/>
      <c r="D228" s="37"/>
      <c r="E228" s="37"/>
      <c r="F228" s="38"/>
      <c r="G228" s="58"/>
      <c r="H228" s="66"/>
      <c r="I228" s="54"/>
      <c r="J228" s="12"/>
      <c r="K228" s="11"/>
      <c r="L228" s="11"/>
    </row>
    <row r="229" spans="2:12" ht="12" customHeight="1">
      <c r="B229" s="14" t="s">
        <v>30</v>
      </c>
      <c r="C229" s="43" t="s">
        <v>31</v>
      </c>
      <c r="D229" s="40"/>
      <c r="E229" s="40"/>
      <c r="F229" s="41"/>
      <c r="G229" s="59" t="s">
        <v>56</v>
      </c>
      <c r="H229" s="67"/>
      <c r="I229" s="108"/>
      <c r="J229" s="2" t="s">
        <v>55</v>
      </c>
      <c r="K229" s="31">
        <f>IFERROR(MROUND(0.25*PI()*(0.001*D206)^2*(D197+D198+D203+D205)*(1+2.2),0.01),"")</f>
        <v>0.38</v>
      </c>
      <c r="L229" s="31">
        <f>IFERROR(D196*K229,"")</f>
        <v>6.84</v>
      </c>
    </row>
    <row r="232" spans="2:12" ht="12" customHeight="1">
      <c r="B232" s="251" t="s">
        <v>80</v>
      </c>
      <c r="C232" s="251"/>
      <c r="D232" s="251"/>
      <c r="E232" s="251"/>
    </row>
    <row r="233" spans="2:12" ht="12" customHeight="1">
      <c r="B233" s="15" t="s">
        <v>94</v>
      </c>
      <c r="C233" s="15"/>
      <c r="D233" s="1"/>
      <c r="E233" s="1"/>
      <c r="F233" s="1"/>
    </row>
    <row r="234" spans="2:12" ht="12" customHeight="1">
      <c r="B234" s="111" t="s">
        <v>77</v>
      </c>
      <c r="C234" s="3"/>
      <c r="D234" t="str">
        <f>IF(AND(MID(D237,1,2)="残置",MID(D238,3,1)&lt;&gt;"Ⅰ"),"【注意】 残置アンカーは、防食Ⅰ限定です。EHDアンカーに変更してください。","")</f>
        <v/>
      </c>
      <c r="E234" s="1"/>
      <c r="F234" s="1"/>
      <c r="G234" s="8"/>
      <c r="H234" s="8"/>
      <c r="I234" s="102"/>
      <c r="J234" s="28"/>
    </row>
    <row r="235" spans="2:12" ht="12" customHeight="1">
      <c r="B235" s="15" t="s">
        <v>40</v>
      </c>
      <c r="C235" s="3"/>
      <c r="D235" s="1"/>
      <c r="E235" s="1"/>
      <c r="F235" s="1"/>
      <c r="G235" s="15" t="s">
        <v>54</v>
      </c>
      <c r="H235" s="15"/>
      <c r="I235" s="102"/>
      <c r="J235" s="28"/>
    </row>
    <row r="236" spans="2:12" ht="12" customHeight="1">
      <c r="B236" s="2" t="s">
        <v>53</v>
      </c>
      <c r="C236" s="2" t="s">
        <v>21</v>
      </c>
      <c r="D236" s="2" t="s">
        <v>22</v>
      </c>
      <c r="E236" s="2" t="s">
        <v>84</v>
      </c>
      <c r="F236" s="17"/>
      <c r="G236" s="2" t="s">
        <v>41</v>
      </c>
      <c r="H236" s="97" t="s">
        <v>59</v>
      </c>
      <c r="I236" s="49" t="s">
        <v>44</v>
      </c>
      <c r="J236" s="2" t="s">
        <v>21</v>
      </c>
      <c r="K236" s="49" t="s">
        <v>29</v>
      </c>
      <c r="L236" s="2" t="s">
        <v>28</v>
      </c>
    </row>
    <row r="237" spans="2:12" ht="12" customHeight="1">
      <c r="B237" s="51" t="s">
        <v>37</v>
      </c>
      <c r="C237" s="50" t="s">
        <v>38</v>
      </c>
      <c r="D237" s="70" t="s">
        <v>71</v>
      </c>
      <c r="E237" s="137" t="s">
        <v>71</v>
      </c>
      <c r="F237" s="17"/>
      <c r="G237" s="86" t="str">
        <f>IF(D249=0,"",G238)</f>
        <v/>
      </c>
      <c r="H237" s="87" t="str">
        <f>IF(D249=0,"",H239&amp;" (背面管部）")</f>
        <v/>
      </c>
      <c r="I237" s="88" t="str">
        <f>IF(D249=0,"",D250)</f>
        <v/>
      </c>
      <c r="J237" s="89" t="str">
        <f>IF(D249=0,"","m")</f>
        <v/>
      </c>
      <c r="K237" s="90" t="str">
        <f>IF(D249=0,"",D249)</f>
        <v/>
      </c>
      <c r="L237" s="29" t="str">
        <f>IF(D249=0,"",D242*K237)</f>
        <v/>
      </c>
    </row>
    <row r="238" spans="2:12" ht="12" customHeight="1">
      <c r="B238" s="52" t="s">
        <v>39</v>
      </c>
      <c r="C238" s="91" t="s">
        <v>38</v>
      </c>
      <c r="D238" s="71" t="s">
        <v>60</v>
      </c>
      <c r="E238" s="7"/>
      <c r="F238" s="17"/>
      <c r="G238" s="68" t="s">
        <v>43</v>
      </c>
      <c r="H238" s="68" t="s">
        <v>72</v>
      </c>
      <c r="I238" s="88" t="str" cm="1">
        <f t="array" ref="I238">_xlfn.IFS(AND(G238&lt;&gt;"非削孔",G238&lt;&gt;"無設定"),D252,G238="非削孔",IF(MID(B239,1,3)="土留め","非削孔","箱抜き"),G238="無設定","無設定")</f>
        <v>非削孔</v>
      </c>
      <c r="J238" s="23" t="str">
        <f>IF(G238="無設定","","m")</f>
        <v>m</v>
      </c>
      <c r="K238" s="69">
        <v>0.8</v>
      </c>
      <c r="L238" s="30">
        <f>D242*K238</f>
        <v>0</v>
      </c>
    </row>
    <row r="239" spans="2:12" ht="12" customHeight="1">
      <c r="B239" s="115" t="s">
        <v>70</v>
      </c>
      <c r="C239" s="91" t="s">
        <v>38</v>
      </c>
      <c r="D239" s="83" t="s">
        <v>51</v>
      </c>
      <c r="E239" s="139" t="str">
        <f>IF(OR(MID(B239,1,3)&lt;&gt;"土留め",D239="なし"),"","腹起し")</f>
        <v/>
      </c>
      <c r="F239" s="19"/>
      <c r="G239" s="68" t="s">
        <v>49</v>
      </c>
      <c r="H239" s="68" t="s">
        <v>68</v>
      </c>
      <c r="I239" s="88" t="str" cm="1">
        <f t="array" ref="I239">_xlfn.IFS(AND(G239&lt;&gt;"非削孔",G239&lt;&gt;"無設定"),D252,G239="非削孔","箱抜き",G239="無設定","無設定")</f>
        <v>──</v>
      </c>
      <c r="J239" s="23" t="str">
        <f t="shared" ref="J239:J247" si="5">IF(G239="無設定","","m")</f>
        <v>m</v>
      </c>
      <c r="K239" s="69">
        <v>0</v>
      </c>
      <c r="L239" s="30">
        <f>D242*K239</f>
        <v>0</v>
      </c>
    </row>
    <row r="240" spans="2:12" ht="12" customHeight="1">
      <c r="B240" s="114" t="str">
        <f>IF(OR(MID(B239,1,3)&lt;&gt;"土留め",D239="なし"),"",B239&amp;"の種類")</f>
        <v/>
      </c>
      <c r="C240" s="91" t="s">
        <v>38</v>
      </c>
      <c r="D240" s="113" t="s">
        <v>71</v>
      </c>
      <c r="E240" s="122" t="s">
        <v>71</v>
      </c>
      <c r="F240" s="21"/>
      <c r="G240" s="68" t="s">
        <v>48</v>
      </c>
      <c r="H240" s="68"/>
      <c r="I240" s="88" t="str" cm="1">
        <f t="array" ref="I240">_xlfn.IFS(AND(G240&lt;&gt;"非削孔",G240&lt;&gt;"無設定"),D252,G240="非削孔","箱抜き",G240="無設定","無設定")</f>
        <v>無設定</v>
      </c>
      <c r="J240" s="23" t="str">
        <f t="shared" si="5"/>
        <v/>
      </c>
      <c r="K240" s="69">
        <v>0</v>
      </c>
      <c r="L240" s="30">
        <f>D242*K240</f>
        <v>0</v>
      </c>
    </row>
    <row r="241" spans="2:12" ht="12" customHeight="1">
      <c r="B241" s="147" t="s">
        <v>50</v>
      </c>
      <c r="C241" s="91" t="s">
        <v>38</v>
      </c>
      <c r="D241" s="83" t="s">
        <v>51</v>
      </c>
      <c r="E241" s="19"/>
      <c r="F241" s="21"/>
      <c r="G241" s="68" t="s">
        <v>48</v>
      </c>
      <c r="H241" s="68"/>
      <c r="I241" s="88" t="str" cm="1">
        <f t="array" ref="I241">_xlfn.IFS(AND(G241&lt;&gt;"非削孔",G241&lt;&gt;"無設定"),D252,G241="非削孔","箱抜き",G241="無設定","無設定")</f>
        <v>無設定</v>
      </c>
      <c r="J241" s="23" t="str">
        <f t="shared" si="5"/>
        <v/>
      </c>
      <c r="K241" s="69">
        <v>0</v>
      </c>
      <c r="L241" s="30">
        <f>D242*K241</f>
        <v>0</v>
      </c>
    </row>
    <row r="242" spans="2:12" ht="12" customHeight="1">
      <c r="B242" s="22" t="s">
        <v>25</v>
      </c>
      <c r="C242" s="23" t="s">
        <v>24</v>
      </c>
      <c r="D242" s="92">
        <v>0</v>
      </c>
      <c r="E242" s="21"/>
      <c r="F242" s="21"/>
      <c r="G242" s="68" t="s">
        <v>48</v>
      </c>
      <c r="H242" s="68"/>
      <c r="I242" s="88" t="str" cm="1">
        <f t="array" ref="I242">_xlfn.IFS(AND(G242&lt;&gt;"非削孔",G242&lt;&gt;"無設定"),D252,G242="非削孔","箱抜き",G242="無設定","無設定")</f>
        <v>無設定</v>
      </c>
      <c r="J242" s="23" t="str">
        <f t="shared" si="5"/>
        <v/>
      </c>
      <c r="K242" s="69">
        <v>0</v>
      </c>
      <c r="L242" s="30">
        <f>D242*K242</f>
        <v>0</v>
      </c>
    </row>
    <row r="243" spans="2:12" ht="12" customHeight="1">
      <c r="B243" s="22" t="s">
        <v>108</v>
      </c>
      <c r="C243" s="23" t="s">
        <v>23</v>
      </c>
      <c r="D243" s="47">
        <v>0</v>
      </c>
      <c r="E243" s="21"/>
      <c r="F243" s="21"/>
      <c r="G243" s="68" t="s">
        <v>61</v>
      </c>
      <c r="H243" s="68"/>
      <c r="I243" s="88" t="str" cm="1">
        <f t="array" ref="I243">_xlfn.IFS(AND(G243&lt;&gt;"非削孔",G243&lt;&gt;"無設定"),D252,G243="非削孔","箱抜き",G243="無設定","無設定")</f>
        <v>無設定</v>
      </c>
      <c r="J243" s="23" t="str">
        <f t="shared" si="5"/>
        <v/>
      </c>
      <c r="K243" s="69">
        <v>0</v>
      </c>
      <c r="L243" s="30">
        <f>D242*K243</f>
        <v>0</v>
      </c>
    </row>
    <row r="244" spans="2:12" ht="12" customHeight="1">
      <c r="B244" s="22" t="s">
        <v>36</v>
      </c>
      <c r="C244" s="23" t="s">
        <v>23</v>
      </c>
      <c r="D244" s="47">
        <v>0</v>
      </c>
      <c r="E244" s="21"/>
      <c r="F244" s="21"/>
      <c r="G244" s="68" t="s">
        <v>48</v>
      </c>
      <c r="H244" s="68"/>
      <c r="I244" s="88" t="str" cm="1">
        <f t="array" ref="I244">_xlfn.IFS(AND(G244&lt;&gt;"非削孔",G244&lt;&gt;"無設定"),D252,G244="非削孔","箱抜き",G244="無設定","無設定")</f>
        <v>無設定</v>
      </c>
      <c r="J244" s="23" t="str">
        <f t="shared" si="5"/>
        <v/>
      </c>
      <c r="K244" s="69">
        <v>0</v>
      </c>
      <c r="L244" s="30">
        <f>D242*K244</f>
        <v>0</v>
      </c>
    </row>
    <row r="245" spans="2:12" ht="12" customHeight="1">
      <c r="B245" s="148" t="str" cm="1">
        <f t="array" ref="B245">"頭部自由長("&amp;_xlfn.IFS(AND(MID(B239,1,3)="土留め",D239="あり"),"腹起し+台座",AND(MID(B239,1,3)="土留め",D239="なし"),"台座なし",AND(MID(B239,1,3)="構造物",D239="あり"),"壁面台座",AND(MID(B239,1,3)="構造物",D239="なし"),"台座なし",AND(MID(B239,1,3)="のり面",D239="あり"),"角度台座＋受圧体",AND(MID(B239,1,3)="のり面",D239="なし"),"受圧体")&amp;")　"&amp;"Lfh"</f>
        <v>頭部自由長(台座なし)　Lfh</v>
      </c>
      <c r="C245" s="23" t="s">
        <v>23</v>
      </c>
      <c r="D245" s="47">
        <v>0.8</v>
      </c>
      <c r="E245" s="21"/>
      <c r="F245" s="21"/>
      <c r="G245" s="68" t="s">
        <v>48</v>
      </c>
      <c r="H245" s="68"/>
      <c r="I245" s="88" t="str" cm="1">
        <f t="array" ref="I245">_xlfn.IFS(AND(G245&lt;&gt;"非削孔",G245&lt;&gt;"無設定"),D252,G245="非削孔","箱抜き",G245="無設定","無設定")</f>
        <v>無設定</v>
      </c>
      <c r="J245" s="23" t="str">
        <f t="shared" si="5"/>
        <v/>
      </c>
      <c r="K245" s="69">
        <v>0</v>
      </c>
      <c r="L245" s="30">
        <f>D242*K245</f>
        <v>0</v>
      </c>
    </row>
    <row r="246" spans="2:12" ht="12" customHeight="1">
      <c r="B246" s="146" t="s">
        <v>69</v>
      </c>
      <c r="C246" s="23" t="s">
        <v>23</v>
      </c>
      <c r="D246" s="24" t="str">
        <f>IF(D237="　","──",IF(MID(D237,6,2)*IF(MID(D237,4,1)="5",183,261)*IF(MID(D238,3,1)="Ⅰ",0.65,0.6)*IF(MID(D237,1,2)="除去",0.9,1)&lt;=700,1,1.5))</f>
        <v>──</v>
      </c>
      <c r="E246" s="120"/>
      <c r="G246" s="68" t="s">
        <v>48</v>
      </c>
      <c r="H246" s="68"/>
      <c r="I246" s="88" t="str" cm="1">
        <f t="array" ref="I246">_xlfn.IFS(AND(G246&lt;&gt;"非削孔",G246&lt;&gt;"無設定"),D252,G246="非削孔","箱抜き",G246="無設定","無設定")</f>
        <v>無設定</v>
      </c>
      <c r="J246" s="23" t="str">
        <f t="shared" si="5"/>
        <v/>
      </c>
      <c r="K246" s="69">
        <v>0</v>
      </c>
      <c r="L246" s="30">
        <f>D242*K246</f>
        <v>0</v>
      </c>
    </row>
    <row r="247" spans="2:12" ht="12" customHeight="1">
      <c r="B247" s="6" t="s">
        <v>109</v>
      </c>
      <c r="C247" s="23" t="s">
        <v>23</v>
      </c>
      <c r="D247" s="60" t="str">
        <f>IF(D237="　","──",SUM(D243:D246))</f>
        <v>──</v>
      </c>
      <c r="E247" s="121"/>
      <c r="F247" s="19"/>
      <c r="G247" s="99" t="str" cm="1">
        <f t="array" ref="G247">INDEX(G238:I246,MATCH("無設定",G238:G246,0)-1,MATCH(G236,G236:I236,0))</f>
        <v>軟　岩</v>
      </c>
      <c r="H247" s="100" t="str" cm="1">
        <f t="array" ref="H247">INDEX(G238:I246,MATCH("無設定",G238:G246,0)-1,MATCH(H236,G236:I236,0))&amp;"　(先端削孔長)"</f>
        <v>CL～CM　(先端削孔長)</v>
      </c>
      <c r="I247" s="88" t="str" cm="1">
        <f t="array" ref="I247">INDEX(G238:I246,MATCH("無設定",G238:G246,0)-1,MATCH(I236,G236:I236,0))</f>
        <v>──</v>
      </c>
      <c r="J247" s="23" t="str">
        <f t="shared" si="5"/>
        <v>m</v>
      </c>
      <c r="K247" s="98">
        <f>D251</f>
        <v>0.2</v>
      </c>
      <c r="L247" s="78">
        <f>IFERROR(D242*K247,"")</f>
        <v>0</v>
      </c>
    </row>
    <row r="248" spans="2:12" ht="12" customHeight="1">
      <c r="B248" s="22" t="s">
        <v>75</v>
      </c>
      <c r="C248" s="23" t="s">
        <v>35</v>
      </c>
      <c r="D248" s="84" t="str">
        <f>IF(D237="　","──",IF(MID(D237,1,2)="除去",0,0.2))</f>
        <v>──</v>
      </c>
      <c r="E248" s="123"/>
      <c r="F248" s="19"/>
      <c r="G248" s="72"/>
      <c r="H248" s="75" t="s">
        <v>45</v>
      </c>
      <c r="I248" s="103"/>
      <c r="J248" s="18" t="s">
        <v>23</v>
      </c>
      <c r="K248" s="74">
        <f>SUMIFS(K237:K247,G237:G247,"&lt;&gt;非削孔",G237:G247,"&lt;&gt;無設定")</f>
        <v>0.2</v>
      </c>
      <c r="L248" s="95">
        <f>SUMIFS(L237:L247,G237:G247,"&lt;&gt;非削孔",G237:G247,"&lt;&gt;無設定")</f>
        <v>0</v>
      </c>
    </row>
    <row r="249" spans="2:12" ht="12" customHeight="1">
      <c r="B249" s="22" t="s">
        <v>73</v>
      </c>
      <c r="C249" s="23" t="s">
        <v>35</v>
      </c>
      <c r="D249" s="85">
        <v>0</v>
      </c>
      <c r="E249" s="123"/>
      <c r="F249" s="19"/>
      <c r="G249" s="73"/>
      <c r="H249" s="76" t="s">
        <v>47</v>
      </c>
      <c r="I249" s="104"/>
      <c r="J249" s="79" t="s">
        <v>46</v>
      </c>
      <c r="K249" s="77" t="str">
        <f>IF(D237="　","",IF(SUM(D243:D245,D249,D251)=K248+SUMIFS(K237:K247,G237:G247,"=非削孔"),"OK","NG"))</f>
        <v/>
      </c>
      <c r="L249" s="145" t="str">
        <f>IF(K249&lt;&gt;"NG","──",K248+SUMIFS(K237:K247,G237:G247,"=非削孔")-SUM(D243:D245,D249,D251))</f>
        <v>──</v>
      </c>
    </row>
    <row r="250" spans="2:12" ht="12" customHeight="1">
      <c r="B250" s="22" t="str">
        <f>IF(D237="　","",IF(D249=0,"","頭部背面管削孔径　Dh"))</f>
        <v/>
      </c>
      <c r="C250" s="23" t="str">
        <f>IF(D237="　","",IF(D249=0,"","mm"))</f>
        <v/>
      </c>
      <c r="D250" s="93" t="str" cm="1">
        <f t="array" ref="D250">IF(D237="　","",IF(D249=0,"",IF(MID(D237,4,1)="5",_xlfn.IFS(VALUE(MID(D237,6,2))&lt;7,115,VALUE(MID(D237,6,2))&gt;6,135),"未設定")))</f>
        <v/>
      </c>
      <c r="E250" s="121"/>
      <c r="F250" s="19"/>
      <c r="G250" s="94" t="s">
        <v>58</v>
      </c>
      <c r="H250" s="252" t="s">
        <v>62</v>
      </c>
      <c r="I250" s="253"/>
      <c r="J250" s="253"/>
      <c r="K250" s="253"/>
      <c r="L250" s="254"/>
    </row>
    <row r="251" spans="2:12" ht="12" customHeight="1">
      <c r="B251" s="25" t="s">
        <v>74</v>
      </c>
      <c r="C251" s="26" t="s">
        <v>23</v>
      </c>
      <c r="D251" s="27">
        <f>IF(MID(D237,1,2)="残置",0.25,0.2)</f>
        <v>0.2</v>
      </c>
      <c r="E251" s="117"/>
      <c r="F251" s="1"/>
      <c r="G251" s="8"/>
      <c r="H251" s="8"/>
      <c r="I251" s="102"/>
    </row>
    <row r="252" spans="2:12" ht="12" customHeight="1">
      <c r="B252" s="25" t="s">
        <v>57</v>
      </c>
      <c r="C252" s="26" t="s">
        <v>32</v>
      </c>
      <c r="D252" s="82" t="str" cm="1">
        <f t="array" ref="D252">IF(D237="　","──",IF(E252="　",_xlfn.IFS(MID(D237,1,2)="除去",IF(MID(D237,4,1)="5",135,165),MID(D237,1,2)="残置",IF(MID(D237,4,1)="5",IF(VALUE(MID(D237,6,2))&lt;8,115,135),IF(VALUE(MID(D237,6,2))&lt;10,146,165))),E252))</f>
        <v>──</v>
      </c>
      <c r="E252" s="142" t="s">
        <v>71</v>
      </c>
      <c r="F252" s="1"/>
      <c r="G252" s="8"/>
      <c r="H252" s="8"/>
      <c r="I252" s="102"/>
    </row>
    <row r="253" spans="2:12" ht="12" customHeight="1">
      <c r="F253" s="1"/>
      <c r="G253" s="8"/>
      <c r="H253" s="8"/>
      <c r="I253" s="102"/>
    </row>
    <row r="254" spans="2:12" ht="12" customHeight="1">
      <c r="B254" s="15" t="str">
        <f>"■"&amp;MID(B232,2,17)</f>
        <v>■短期仮設：KJS残置アンカー数量表</v>
      </c>
      <c r="C254" s="3"/>
      <c r="D254" s="1"/>
      <c r="E254" s="1"/>
      <c r="F254" s="1"/>
      <c r="G254" s="8"/>
      <c r="H254" s="8"/>
      <c r="I254" s="102"/>
    </row>
    <row r="255" spans="2:12" ht="12" customHeight="1">
      <c r="B255" s="2" t="s">
        <v>17</v>
      </c>
      <c r="C255" s="43"/>
      <c r="D255" s="134"/>
      <c r="E255" s="61" t="s">
        <v>78</v>
      </c>
      <c r="F255" s="135"/>
      <c r="G255" s="16"/>
      <c r="H255" s="61" t="s">
        <v>42</v>
      </c>
      <c r="I255" s="97"/>
      <c r="J255" s="2" t="s">
        <v>21</v>
      </c>
      <c r="K255" s="49" t="s">
        <v>29</v>
      </c>
      <c r="L255" s="2" t="s">
        <v>28</v>
      </c>
    </row>
    <row r="256" spans="2:12" ht="12" customHeight="1">
      <c r="B256" s="4" t="str">
        <f>IF(MID(D237,1,2)="除去","アンボンド","")&amp;"PCストランド"</f>
        <v>PCストランド</v>
      </c>
      <c r="C256" s="39" t="str">
        <f>IF(D237="　","",D237&amp;"("&amp;MID(D237,6,2)&amp;IF(MID(D237,4,1)="5","φ12.7","φ15.2")&amp;")")</f>
        <v/>
      </c>
      <c r="D256" s="32"/>
      <c r="E256" s="32"/>
      <c r="F256" s="33"/>
      <c r="G256" s="143" t="str">
        <f>"W="&amp;IF(MID(D237,1,2)="除去","(ﾃﾝﾄﾞﾝ長+ｱﾝｶｰ体長×(1/鋼線本数-0.5))","(テンドン長+先端長0.2m)")&amp;"×鋼線本数×"&amp;IF(MID(D237,4,1)="5","0.774","1.101")&amp;"kg/m"</f>
        <v>W=(テンドン長+先端長0.2m)×鋼線本数×1.101kg/m</v>
      </c>
      <c r="H256" s="62"/>
      <c r="I256" s="105"/>
      <c r="J256" s="5" t="s">
        <v>11</v>
      </c>
      <c r="K256" s="29" t="str">
        <f>IF(D237="　","",MROUND(IF(MID(D237,1,2)="除去",D247+D244*(1/MID(D237,6,2)-0.5),D247+D248)*MID(D237,6,2)*IF(MID(D237,4,1)="5","0.774","1.101"),0.01))</f>
        <v/>
      </c>
      <c r="L256" s="29" t="str">
        <f>IFERROR(D242*K256,"")</f>
        <v/>
      </c>
    </row>
    <row r="257" spans="2:12" ht="12" customHeight="1">
      <c r="B257" s="6" t="s">
        <v>20</v>
      </c>
      <c r="C257" s="34"/>
      <c r="D257" s="35"/>
      <c r="E257" s="35"/>
      <c r="F257" s="36"/>
      <c r="G257" s="56" t="str">
        <f>"L=テンドン長"&amp;IF(MID(D237,1,2)="除去","+アンカー体長×(1/鋼線本数-0.5))","")</f>
        <v>L=テンドン長</v>
      </c>
      <c r="H257" s="63"/>
      <c r="I257" s="106"/>
      <c r="J257" s="7" t="s">
        <v>12</v>
      </c>
      <c r="K257" s="30" t="str">
        <f>IF(D237="　","",MROUND(D247+IF(MID(D237,1,2)="除去",D244*(1/MID(D237,6,2)-0.5),0),0.1))</f>
        <v/>
      </c>
      <c r="L257" s="30" t="str">
        <f>IFERROR(D242*K257,"")</f>
        <v/>
      </c>
    </row>
    <row r="258" spans="2:12" ht="12" customHeight="1">
      <c r="B258" s="6" t="str">
        <f>IF(MID(D237,1,2)="除去","耐荷体","注入ホース")</f>
        <v>注入ホース</v>
      </c>
      <c r="C258" s="34" t="str" cm="1">
        <f t="array" ref="C258">IF(D237="　","",IF(MID(D237,1,2)="除去",IF(MID(D237,1,2)="除去",MID(D237,3,2)&amp;"用Bタイプ、FCD450相当"&amp;_xlfn.IFS(MID(D238,3,1)="Ⅰ","",MID(D238,3,1)="Ⅱ","、亜鉛めっき処理",MID(D238,3,1)="Ⅲ","、ｱﾙﾐﾅｲｽﾞ処理"),""),"1/2″"))</f>
        <v/>
      </c>
      <c r="D258" s="35"/>
      <c r="E258" s="35"/>
      <c r="F258" s="36"/>
      <c r="G258" s="127" t="str">
        <f>IF(MID(D237,1,2)="除去","N="&amp;0.5*MID(D237,6,2),"L=テンドン長")</f>
        <v>L=テンドン長</v>
      </c>
      <c r="H258" s="63"/>
      <c r="I258" s="106"/>
      <c r="J258" s="7" t="str">
        <f>IF(MID(D237,1,2)="除去","個","m")</f>
        <v>m</v>
      </c>
      <c r="K258" s="130" t="str">
        <f>IF(D237="　","",IF(MID(D237,1,2)="除去",MID(G258,3,2),MROUND(D247,0.1)))</f>
        <v/>
      </c>
      <c r="L258" s="30" t="str">
        <f>IFERROR(D242*K258,"")</f>
        <v/>
      </c>
    </row>
    <row r="259" spans="2:12" ht="12" customHeight="1">
      <c r="B259" s="109" t="str">
        <f>IF(MID(D237,1,2)="除去","結束テープ","パイロットキャップ")</f>
        <v>パイロットキャップ</v>
      </c>
      <c r="C259" s="34" t="str" cm="1">
        <f t="array" ref="C259">IF(D237="　","",IF(MID(D237,1,2)="除去","","Ｊ"&amp;IF(MID(D237,4,1)="5",_xlfn.IFS(VALUE(MID(D237,6,2))&lt;5,"5-4",VALUE(MID(D237,6,2))&lt;8,"5-7",VALUE(MID(D237,6,2))&lt;10,"5-9",VALUE(MID(D237,6,2))&gt;9,"5-12"),_xlfn.IFS(VALUE(MID(D237,6,2))&lt;10,"6-9",VALUE(MID(D237,6,2))&lt;13,"6-12",VALUE(MID(D237,6,2))&gt;12,"6-19"))&amp;"用、"&amp;IF(AND(MID(D237,4,1)="6",VALUE(MID(D237,6,2))&gt;9),"AC2A","ポリプロピレン")))</f>
        <v/>
      </c>
      <c r="D259" s="35"/>
      <c r="E259" s="35"/>
      <c r="F259" s="36"/>
      <c r="G259" s="52" t="str">
        <f>IF(MID(D237,1,2)="除去","L=(自由長+頭部自由長+緊張余長)÷2.0mピッチ","N=1")</f>
        <v>N=1</v>
      </c>
      <c r="H259" s="110"/>
      <c r="I259" s="53"/>
      <c r="J259" s="7" t="str">
        <f>IF(MID(D237,1,2)="除去","m","個")</f>
        <v>個</v>
      </c>
      <c r="K259" s="130" t="str">
        <f>IF(D237="　","",IF(MID(D237,1,2)="除去",MROUND(SUM(D243,D245:D246)/2,0.01),MID(G259,3,2)))</f>
        <v/>
      </c>
      <c r="L259" s="30" t="str">
        <f>IFERROR(D242*K259,"")</f>
        <v/>
      </c>
    </row>
    <row r="260" spans="2:12" ht="12" customHeight="1">
      <c r="B260" s="109" t="str">
        <f>IF(MID(D237,1,2)="除去",IF(D238="防食Ⅰ","アンカープレート","溝付アンカープレート"),"スペーサ")</f>
        <v>スペーサ</v>
      </c>
      <c r="C260" s="96" t="str" cm="1">
        <f t="array" ref="C260">IF(D237="　","",_xlfn.SINGLE(IF(MID(D237,1,2)="除去","J"&amp;_xlfn.SINGLE(IF(MID(D237,4,1)="5",_xlfn.IFS(VALUE(MID(D237,6,2))&lt;3,"5-2",VALUE(MID(D237,6,2))&lt;5,"5-4",VALUE(MID(D237,6,2))&lt;7,"5-7",VALUE(MID(D237,6,2))&lt;10,"5-9",VALUE(MID(D237,6,2))&gt;9,"5-12"),_xlfn.IFS(VALUE(MID(D237,6,2))&lt;13,"6-12")))&amp;"用、"&amp;IF(D238="防食Ⅰ","SS400相当","SS400・STKM13A相当、防食：")&amp;_xlfn.IFS(D238="防食Ⅰ","無処理",D238="防食Ⅱ","亜鉛めっき処理",D238="防食Ⅲ","ｱﾙﾐﾅｲｽﾞ処理"),"J"&amp;IF(MID(D237,4,1)="5",_xlfn.IFS(VALUE(MID(D237,6,2))&lt;8,"5-7",VALUE(MID(D237,6,2))&gt;7,"5-12"),_xlfn.IFS(VALUE(MID(D237,6,2))&lt;8,"6-7",VALUE(MID(D237,6,2))&lt;13,"6-12",VALUE(MID(D237,6,2))&gt;12,"6-19"))&amp;"用、"&amp;IF(AND(MID(D237,4,1)="6",VALUE(MID(D237,6,2))&gt;9),"AC2B","ポリプロピレン"))))</f>
        <v/>
      </c>
      <c r="D260" s="35"/>
      <c r="E260" s="35"/>
      <c r="F260" s="36"/>
      <c r="G260" s="127" t="str">
        <f>IF(MID(D237,1,2)="除去","N=1","N=アンカー体÷1.0mピッチ")</f>
        <v>N=アンカー体÷1.0mピッチ</v>
      </c>
      <c r="H260" s="63"/>
      <c r="I260" s="106"/>
      <c r="J260" s="7" t="str">
        <f>IF(MID(D237,1,2)="除去","枚","m")</f>
        <v>m</v>
      </c>
      <c r="K260" s="130" t="str">
        <f>IF(D237="　","",IF(D237="　","",IF(MID(D237,1,2)="除去",MID(G260,3,2),MROUND(D244/1,1))))</f>
        <v/>
      </c>
      <c r="L260" s="30" t="str">
        <f>IFERROR(D242*K260,"")</f>
        <v/>
      </c>
    </row>
    <row r="261" spans="2:12" ht="12" customHeight="1">
      <c r="B261" s="109" t="str">
        <f>IF(MID(D237,1,2)="除去","アンカーヘッド","結束バンド")</f>
        <v>結束バンド</v>
      </c>
      <c r="C261" s="34" t="str">
        <f>IF(D237="　","",IF(MID(D237,1,2)="除去","J"&amp;IF(MID(D237,4,1)="5",_xlfn.IFS(VALUE(MID(D237,6,2))&lt;3,"5-2",VALUE(MID(D237,6,2))&lt;4,"5-3",VALUE(MID(D237,6,2))&lt;5,"5-4",VALUE(MID(D237,6,2))&lt;8,"5-7",VALUE(MID(D237,6,2))&lt;10,"5-9",VALUE(MID(D237,6,2))&gt;9,"5-12"),_xlfn.IFS(VALUE(MID(D237,6,2))&lt;8,"6-7",VALUE(MID(D237,6,2))&gt;7,"6-12"))&amp;"用、S45C相当","AB350、66ナイロン"))</f>
        <v/>
      </c>
      <c r="D261" s="35"/>
      <c r="E261" s="35"/>
      <c r="F261" s="36"/>
      <c r="G261" s="127" t="str">
        <f>IF(MID(D237,1,2)="除去","N=1","N=スペーサ数×2")</f>
        <v>N=スペーサ数×2</v>
      </c>
      <c r="H261" s="63"/>
      <c r="I261" s="106"/>
      <c r="J261" s="7" t="str">
        <f>IF(MID(D237,1,2)="除去","個","本")</f>
        <v>本</v>
      </c>
      <c r="K261" s="130" t="str">
        <f>IF(D237="　","",IF(MID(D237,1,2)="除去",MID(G261,3,2),2*K260))</f>
        <v/>
      </c>
      <c r="L261" s="30" t="str">
        <f>IFERROR(D242*K261,"")</f>
        <v/>
      </c>
    </row>
    <row r="262" spans="2:12" ht="12" customHeight="1">
      <c r="B262" s="6" t="str">
        <f>IF(MID(D237,1,2)="除去","くさび","ポリホース")</f>
        <v>ポリホース</v>
      </c>
      <c r="C262" s="34" t="str">
        <f>IF(D237="　","",IF(MID(D237,1,2)="除去",MID(D237,3,5)&amp;"用、"&amp;IF(MID(D237,4,1)="5","φ12.7","φ15.2")&amp;"、SCM415相当","1-1/2″"))</f>
        <v/>
      </c>
      <c r="D262" s="35"/>
      <c r="E262" s="35"/>
      <c r="F262" s="36"/>
      <c r="G262" s="127" t="str">
        <f>IF(MID(D237,1,2)="除去","N="&amp;MID(D237,6,2),"L=自由長-0.5m")</f>
        <v>L=自由長-0.5m</v>
      </c>
      <c r="H262" s="63"/>
      <c r="I262" s="106"/>
      <c r="J262" s="7" t="str">
        <f>IF(MID(D237,1,2)="除去","組","m")</f>
        <v>m</v>
      </c>
      <c r="K262" s="130" t="str">
        <f>IF(D237="　","",IF(MID(D237,1,2)="除去",MID(G262,3,2),D243+D245-0.5))</f>
        <v/>
      </c>
      <c r="L262" s="30" t="str">
        <f>IFERROR(D242*K262,"")</f>
        <v/>
      </c>
    </row>
    <row r="263" spans="2:12" ht="12" customHeight="1">
      <c r="B263" s="6" t="str">
        <f>IF(MID(D237,1,2)="除去",IF(D238="防食Ⅰ","","ヘッドキャップ"),"アンカープレート")</f>
        <v>アンカープレート</v>
      </c>
      <c r="C263" s="96" t="str" cm="1">
        <f t="array" ref="C263">IF(D237="　","",IF(MID(D237,1,2)="除去",IF(D238="防食Ⅰ","","J"&amp;_xlfn.SINGLE(IF(MID(D237,4,1)="5",_xlfn.IFS(VALUE(MID(D237,6,2))&lt;5,"5-4",VALUE(MID(D237,6,2))&lt;8,"5-7",VALUE(MID(D237,6,2))&gt;7,"5-12"),"未設定"))&amp;"RN用、AC4C相当"&amp;IF(D238="防食Ⅱ","","、防食：タケコート処理")),"J"&amp;_xlfn.SINGLE(IF(MID(D237,4,1)="5",_xlfn.IFS(VALUE(MID(D237,6,2))&lt;3,"5-2",VALUE(MID(D237,6,2))&lt;5,"5-4",VALUE(MID(D237,6,2))&lt;7,"5-7",VALUE(MID(D237,6,2))&lt;10,"5-9",VALUE(MID(D237,6,2))&gt;9,"5-12"),_xlfn.IFS(VALUE(MID(D237,6,2))&lt;13,"6-12")))&amp;"用、"&amp;IF(D238="防食Ⅰ","SS400相当","SS400・STKM13A相当、防食：")&amp;_xlfn.IFS(D238="防食Ⅰ","、防食：無処理",D238="防食Ⅱ","、防食：亜鉛めっき",D238="防食Ⅲ","、防食：ｱﾙﾐﾅｲｽﾞ")))</f>
        <v/>
      </c>
      <c r="D263" s="44"/>
      <c r="E263" s="44"/>
      <c r="F263" s="45"/>
      <c r="G263" s="52" t="str">
        <f>IF(MID(D237,1,2)="除去","N="&amp;IF(D238="防食Ⅰ","",1),"N=1")</f>
        <v>N=1</v>
      </c>
      <c r="H263" s="64"/>
      <c r="I263" s="53"/>
      <c r="J263" s="7" t="str">
        <f>IF(MID(D237,1,2)="除去",IF(D238="防食Ⅰ","","個"),"枚")</f>
        <v>枚</v>
      </c>
      <c r="K263" s="130" t="str">
        <f>IF(D237="　","",IF(MID(D237,1,2)="除去",MID(G263,3,2),MID(G263,3,2)))</f>
        <v/>
      </c>
      <c r="L263" s="30" t="str">
        <f>IFERROR(D242*K263,"")</f>
        <v/>
      </c>
    </row>
    <row r="264" spans="2:12" ht="12" customHeight="1">
      <c r="B264" s="6" t="str">
        <f>IF(MID(D237,1,2)="除去",IF(D238="防食Ⅰ","","頭部防錆油"),"アンカーヘッド")</f>
        <v>アンカーヘッド</v>
      </c>
      <c r="C264" s="34" t="str">
        <f>IF(D237="　","",IF(MID(D237,1,2)="除去",IF(D238="防食Ⅰ","","PCコートC"),"J"&amp;IF(MID(D237,4,1)="5",_xlfn.IFS(VALUE(MID(D237,6,2))&lt;3,"5-2",VALUE(MID(D237,6,2))&lt;4,"5-3",VALUE(MID(D237,6,2))&lt;5,"5-4",VALUE(MID(D237,6,2))&lt;8,"5-7",VALUE(MID(D237,6,2))&lt;10,"5-9",VALUE(MID(D237,6,2))&gt;9,"5-12"),_xlfn.IFS(VALUE(MID(D237,6,2))&lt;8,"6-7",VALUE(MID(D237,6,2))&gt;7,"6-12"))&amp;"用、S45C相当"))</f>
        <v/>
      </c>
      <c r="D264" s="35"/>
      <c r="E264" s="35"/>
      <c r="F264" s="36"/>
      <c r="G264" s="52" t="str">
        <f>IF(MID(D237,1,2)="除去","W="&amp;IF(D238="防食Ⅰ","",IF(MID(D237,4,1)="5",_xlfn.IFS(VALUE(MID(D237,6,2))&lt;4,1.8,VALUE(MID(D237,6,2))&lt;5,2,VALUE(MID(D237,6,2))&lt;8,2.7,VALUE(MID(D237,6,2))&gt;7,5),_xlfn.IFS(VALUE(MID(D237,6,2))=1,1.8,VALUE(MID(D237,6,2))&lt;3,2,VALUE(MID(D237,6,2))&lt;5,2.7,VALUE(MID(D237,6,2))&lt;8,5,VALUE(MID(D237,6,2))&gt;7,12.3))),"N=1")</f>
        <v>N=1</v>
      </c>
      <c r="H264" s="64"/>
      <c r="I264" s="53"/>
      <c r="J264" s="7" t="str">
        <f>IF(MID(D237,1,2)="除去",IF(D238="防食Ⅰ","","kg"),"個")</f>
        <v>個</v>
      </c>
      <c r="K264" s="130" t="str">
        <f>IF(D237="　","",IF(MID(D237,1,2)="除去",MID(G264,3,4),MID(G264,3,2)))</f>
        <v/>
      </c>
      <c r="L264" s="30" t="str">
        <f>IFERROR(D242*K264,"")</f>
        <v/>
      </c>
    </row>
    <row r="265" spans="2:12" ht="12" customHeight="1">
      <c r="B265" s="6" t="str">
        <f>IF(MID(D237,1,2)="除去",IF(D238="防食Ⅰ","","止水具スペーサ"),"くさび")</f>
        <v>くさび</v>
      </c>
      <c r="C265" s="34" t="str">
        <f>IF(D237="　","",IF(MID(D237,1,2)="除去",IF(D238="防食Ⅰ","",MID(D237,3,5)&amp;"用、NBR45相当"),MID(D237,3,5)&amp;"用、"&amp;IF(MID(D237,4,1)="5","φ12.7","φ15.2")&amp;"、SCM415相当"))</f>
        <v/>
      </c>
      <c r="D265" s="35"/>
      <c r="E265" s="35"/>
      <c r="F265" s="36"/>
      <c r="G265" s="52" t="str">
        <f>IF(D237="　","",IF(MID(D237,1,2)="除去","N="&amp;IF(D238="防食Ⅰ","",1),"N="&amp;MID(D237,6,2)))</f>
        <v/>
      </c>
      <c r="H265" s="64"/>
      <c r="I265" s="53"/>
      <c r="J265" s="7" t="str">
        <f>IF(MID(D237,1,2)="除去",IF(D238="防食Ⅰ","","個"),"組")</f>
        <v>組</v>
      </c>
      <c r="K265" s="130" t="str">
        <f>IF(D237="　","",IF(MID(D237,1,2)="除去",MID(G265,3,2),MID(G265,3,2)))</f>
        <v/>
      </c>
      <c r="L265" s="30" t="str">
        <f>IFERROR(D242*K265,"")</f>
        <v/>
      </c>
    </row>
    <row r="266" spans="2:12" ht="12" customHeight="1">
      <c r="B266" s="6" t="str">
        <f>IF(MID(D237,1,2)="除去",IF(D238="防食Ⅰ","","配列スペーサ"),"サンタックシーラー")</f>
        <v>サンタックシーラー</v>
      </c>
      <c r="C266" s="34" t="str">
        <f>IF(D237="　","",IF(MID(D237,1,2)="除去",IF(D238="防食Ⅰ","","J"&amp;IF(MID(D237,4,1)="5",_xlfn.IFS(VALUE(MID(D237,6,2))=3,"5-3",VALUE(MID(D237,6,2))&lt;5,"5-4",VALUE(MID(D237,6,2))&lt;8,"5-7",VALUE(MID(D237,6,2))&gt;7,"5-12"),_xlfn.IFS(VALUE(MID(D237,6,2))=3,"6-3",VALUE(MID(D237,6,2))&lt;5,"6-4",VALUE(MID(D237,6,2))&lt;8,"6-7",VALUE(MID(D237,6,2))&gt;7,"6-12"))&amp;"用、ポリエチレン"),""))</f>
        <v/>
      </c>
      <c r="D266" s="35"/>
      <c r="E266" s="35"/>
      <c r="F266" s="36"/>
      <c r="G266" s="52" t="str" cm="1">
        <f t="array" ref="G266">IF(D237="　","",IF(MID(D237,1,2)="除去","N="&amp;IF(D238="防食Ⅰ","",1),"N="&amp;IF(MID(D237,4,1)="5",_xlfn.IFS(VALUE(MID(D237,6,2))&lt;5,0.03,VALUE(MID(D237,6,2))&lt;8,0.04,VALUE(MID(D237,6,2))&lt;13,0.06),_xlfn.IFS(VALUE(MID(D237,6,2))&lt;4,0.03,VALUE(MID(D237,6,2))&lt;6,0.04,VALUE(MID(D237,6,2))&lt;9,0.06,VALUE(MID(D237,6,2))&gt;8,0.09))&amp;"巻/本"))</f>
        <v/>
      </c>
      <c r="H266" s="64"/>
      <c r="I266" s="53"/>
      <c r="J266" s="7" t="str">
        <f>IF(MID(D237,1,2)="除去",IF(D238="防食Ⅰ","","個"),"巻")</f>
        <v>巻</v>
      </c>
      <c r="K266" s="130" t="str">
        <f>IF(D237="　","",IF(MID(D237,1,2)="除去",MID(G266,3,2),MID(G266,3,4)))</f>
        <v/>
      </c>
      <c r="L266" s="30" t="str">
        <f>IFERROR(D242*K266,"")</f>
        <v/>
      </c>
    </row>
    <row r="267" spans="2:12" ht="12" customHeight="1">
      <c r="B267" s="6" t="str">
        <f>IF(MID(D237,1,2)="除去","","結束テープ")</f>
        <v>結束テープ</v>
      </c>
      <c r="C267" s="34" t="str">
        <f>IF(D237="　","",IF(MID(D237,1,2)="除去","",""))</f>
        <v/>
      </c>
      <c r="D267" s="35"/>
      <c r="E267" s="35"/>
      <c r="F267" s="36"/>
      <c r="G267" s="52" t="str" cm="1">
        <f t="array" ref="G267">IF(D237="　","",IF(MID(D237,1,2)="除去","","L=(自由長+緊張余長)×係数"&amp;IF(MID(D237,4,1)="5",_xlfn.IFS(VALUE(MID(D237,6,2))&lt;5,"1.0",VALUE(MID(D237,6,2))&lt;8,"1.1",VALUE(MID(D237,6,2))&lt;13,"1.2"),_xlfn.IFS(VALUE(MID(D237,6,2))&lt;4,"1.0",VALUE(MID(D237,6,2))&lt;6,"1.1",VALUE(MID(D237,6,2))&lt;9,"1.2",VALUE(MID(D237,6,2))&gt;8,"1.4"))))</f>
        <v/>
      </c>
      <c r="H267" s="64"/>
      <c r="I267" s="53"/>
      <c r="J267" s="7" t="str">
        <f>IF(MID(D237,1,2)="除去","","m")</f>
        <v>m</v>
      </c>
      <c r="K267" s="6" t="str">
        <f>IF(D237="　","",IF(MID(D237,1,2)="除去","",MROUND(SUM(D243,D245:D246)*RIGHT(G267,3),0.1)))</f>
        <v/>
      </c>
      <c r="L267" s="30" t="str">
        <f>IFERROR(D242*K267,"")</f>
        <v/>
      </c>
    </row>
    <row r="268" spans="2:12" ht="12" customHeight="1">
      <c r="B268" s="126" t="str">
        <f>IF(MID(D237,1,2)="除去","","防錆材")</f>
        <v>防錆材</v>
      </c>
      <c r="C268" s="126" t="str">
        <f>IF(D237="　","",IF(MID(D237,1,2)="除去","","自由長部塗布"))</f>
        <v/>
      </c>
      <c r="D268" s="35"/>
      <c r="E268" s="35"/>
      <c r="F268" s="35"/>
      <c r="G268" s="128" t="str">
        <f>IF(MID(D237,1,2)="除去","","W=(自由長-0.5m)×鋼線本数×0.0646kg")</f>
        <v>W=(自由長-0.5m)×鋼線本数×0.0646kg</v>
      </c>
      <c r="H268" s="35"/>
      <c r="I268" s="125"/>
      <c r="J268" s="48" t="str">
        <f>IF(MID(D237,1,2)="除去","","kg")</f>
        <v>kg</v>
      </c>
      <c r="K268" s="6" t="str">
        <f>IF(D237="　","",IF(MID(D237,1,2)="除去","",MROUND((D243+D245-0.5)*MID(D237,6,2)*0.0646,0.1)))</f>
        <v/>
      </c>
      <c r="L268" s="30" t="str">
        <f>IFERROR(D242*K268,"")</f>
        <v/>
      </c>
    </row>
    <row r="269" spans="2:12" ht="12" customHeight="1">
      <c r="B269" s="6" t="str">
        <f>IF(D239="なし","",B239)</f>
        <v/>
      </c>
      <c r="C269" s="34" t="str" cm="1">
        <f t="array" ref="C269">IF(D237="　","",IF(D239="なし","",_xlfn.IFS(MID(B239,1,3)="のり面",_xlfn.IFS(VALUE(MID(D237,6,2))&lt;5,"ST170",VALUE(MID(D237,6,2))&lt;8,"ST200",VALUE(MID(D237,6,2))&lt;13,"ST200")&amp;"、FCD450相当",OR(MID(B239,1,3)="構造物",MID(B239,1,3)="土留め"),D237&amp;"用"&amp;IF(OR(MID(B239,1,3)="構造物",D240="　"),"",D240&amp;"/"&amp;E240))&amp;"、防食："&amp;_xlfn.IFS(D238="防食Ⅰ","無処理",D238="防食Ⅱ","亜鉛めっき処理",D238="防食Ⅲ","ｱﾙﾐﾅｲｽﾞ処理")))</f>
        <v/>
      </c>
      <c r="D269" s="35"/>
      <c r="E269" s="35"/>
      <c r="F269" s="36"/>
      <c r="G269" s="52" t="str">
        <f>IF(D239="なし","","N=1")</f>
        <v/>
      </c>
      <c r="H269" s="64"/>
      <c r="I269" s="53"/>
      <c r="J269" s="7" t="str">
        <f>IF(D239="なし","","台")</f>
        <v/>
      </c>
      <c r="K269" s="130" t="str">
        <f>IF(D237="　","",MID(G269,3,2))</f>
        <v/>
      </c>
      <c r="L269" s="30" t="str">
        <f>IF(K269="","",D242*K269)</f>
        <v/>
      </c>
    </row>
    <row r="270" spans="2:12" ht="12" customHeight="1">
      <c r="B270" s="6" t="str">
        <f>IF(D241="なし","","フリーパッカー注入ホース")</f>
        <v/>
      </c>
      <c r="C270" s="34" t="str">
        <f>IF(D237="　","",IF(B270="","","16/20"))</f>
        <v/>
      </c>
      <c r="D270" s="35"/>
      <c r="E270" s="35"/>
      <c r="F270" s="36"/>
      <c r="G270" s="127" t="str">
        <f>IF(B270="","","L=自由長+頭部自由長+緊張余長")</f>
        <v/>
      </c>
      <c r="H270" s="64"/>
      <c r="I270" s="53"/>
      <c r="J270" s="7" t="str">
        <f>IF(D241="なし","","m")</f>
        <v/>
      </c>
      <c r="K270" s="6" t="str">
        <f>IF(D237="　","",IF(B270="","",MROUND(SUM(D243,D245:D246),0.1)))</f>
        <v/>
      </c>
      <c r="L270" s="30" t="str">
        <f>IF(K270="","",D242*K270)</f>
        <v/>
      </c>
    </row>
    <row r="271" spans="2:12" ht="12" customHeight="1">
      <c r="B271" s="6" t="str">
        <f>IF(D241="なし","","フリーパッカー")</f>
        <v/>
      </c>
      <c r="C271" s="52" t="str">
        <f>IF(D237="　","",_xlfn.SINGLE(IF(B270="","",_xlfn.IFS(D249=90,"PA-170",D249=115,"PA-200",D249&lt;147,"PA-240",D249&gt;147,"PA-350"))))</f>
        <v/>
      </c>
      <c r="D271" s="35"/>
      <c r="E271" s="35"/>
      <c r="F271" s="36"/>
      <c r="G271" s="129" t="str">
        <f>IF(B271="","","L=自由長+0.5m")</f>
        <v/>
      </c>
      <c r="H271" s="80"/>
      <c r="I271" s="81"/>
      <c r="J271" s="7" t="str">
        <f>IF(D241="なし","","m")</f>
        <v/>
      </c>
      <c r="K271" s="30" t="str">
        <f>IF(D237="　","",IF(B271="","",MROUND(D243+0.5,0.1)))</f>
        <v/>
      </c>
      <c r="L271" s="30" t="str">
        <f>IF(K271="","",D242*K271)</f>
        <v/>
      </c>
    </row>
    <row r="272" spans="2:12" ht="12" customHeight="1">
      <c r="B272" s="6" t="str">
        <f>IF(D241="なし","","パッカー取付加工")</f>
        <v/>
      </c>
      <c r="C272" s="34"/>
      <c r="D272" s="35"/>
      <c r="E272" s="35"/>
      <c r="F272" s="36"/>
      <c r="G272" s="52" t="str">
        <f>IF(B272="","","N=1")</f>
        <v/>
      </c>
      <c r="H272" s="64"/>
      <c r="I272" s="53"/>
      <c r="J272" s="7" t="str">
        <f>IF(D241="なし","","式")</f>
        <v/>
      </c>
      <c r="K272" s="130" t="str">
        <f>IF(D237="　","",MID(G272,3,2))</f>
        <v/>
      </c>
      <c r="L272" s="30" t="str">
        <f>IF(K272="","",D242*K272)</f>
        <v/>
      </c>
    </row>
    <row r="273" spans="2:12" ht="12" customHeight="1">
      <c r="B273" s="9"/>
      <c r="C273" s="52"/>
      <c r="D273" s="35"/>
      <c r="E273" s="35"/>
      <c r="F273" s="36"/>
      <c r="G273" s="57"/>
      <c r="H273" s="65"/>
      <c r="I273" s="107"/>
      <c r="J273" s="10"/>
      <c r="K273" s="30"/>
      <c r="L273" s="30"/>
    </row>
    <row r="274" spans="2:12" ht="12" customHeight="1">
      <c r="B274" s="11"/>
      <c r="C274" s="42"/>
      <c r="D274" s="37"/>
      <c r="E274" s="37"/>
      <c r="F274" s="38"/>
      <c r="G274" s="58"/>
      <c r="H274" s="66"/>
      <c r="I274" s="54"/>
      <c r="J274" s="12"/>
      <c r="K274" s="11"/>
      <c r="L274" s="11"/>
    </row>
    <row r="275" spans="2:12" ht="12" customHeight="1">
      <c r="B275" s="14" t="s">
        <v>30</v>
      </c>
      <c r="C275" s="43" t="s">
        <v>31</v>
      </c>
      <c r="D275" s="40"/>
      <c r="E275" s="40"/>
      <c r="F275" s="41"/>
      <c r="G275" s="59" t="s">
        <v>56</v>
      </c>
      <c r="H275" s="67"/>
      <c r="I275" s="108"/>
      <c r="J275" s="2" t="s">
        <v>55</v>
      </c>
      <c r="K275" s="31" t="str">
        <f>IFERROR(MROUND(0.25*PI()*(0.001*D252)^2*(D243+D244+D249+D251)*(1+2.2),0.01),"")</f>
        <v/>
      </c>
      <c r="L275" s="31" t="str">
        <f>IFERROR(D242*K275,"")</f>
        <v/>
      </c>
    </row>
  </sheetData>
  <mergeCells count="12">
    <mergeCell ref="B2:E2"/>
    <mergeCell ref="B48:E48"/>
    <mergeCell ref="B94:E94"/>
    <mergeCell ref="B140:E140"/>
    <mergeCell ref="H250:L250"/>
    <mergeCell ref="B186:E186"/>
    <mergeCell ref="B232:E232"/>
    <mergeCell ref="H20:L20"/>
    <mergeCell ref="H66:L66"/>
    <mergeCell ref="H112:L112"/>
    <mergeCell ref="H158:L158"/>
    <mergeCell ref="H204:L204"/>
  </mergeCells>
  <phoneticPr fontId="1"/>
  <conditionalFormatting sqref="D4">
    <cfRule type="containsText" dxfId="23" priority="22" operator="containsText" text="注意">
      <formula>NOT(ISERROR(SEARCH("注意",D4)))</formula>
    </cfRule>
  </conditionalFormatting>
  <conditionalFormatting sqref="D50">
    <cfRule type="containsText" dxfId="22" priority="21" operator="containsText" text="注意">
      <formula>NOT(ISERROR(SEARCH("注意",D50)))</formula>
    </cfRule>
  </conditionalFormatting>
  <conditionalFormatting sqref="D96">
    <cfRule type="containsText" dxfId="21" priority="20" operator="containsText" text="注意">
      <formula>NOT(ISERROR(SEARCH("注意",D96)))</formula>
    </cfRule>
  </conditionalFormatting>
  <conditionalFormatting sqref="D142">
    <cfRule type="containsText" dxfId="20" priority="19" operator="containsText" text="注意">
      <formula>NOT(ISERROR(SEARCH("注意",D142)))</formula>
    </cfRule>
  </conditionalFormatting>
  <conditionalFormatting sqref="D188">
    <cfRule type="containsText" dxfId="19" priority="18" operator="containsText" text="注意">
      <formula>NOT(ISERROR(SEARCH("注意",D188)))</formula>
    </cfRule>
  </conditionalFormatting>
  <conditionalFormatting sqref="D234">
    <cfRule type="containsText" dxfId="18" priority="17" operator="containsText" text="注意">
      <formula>NOT(ISERROR(SEARCH("注意",D234)))</formula>
    </cfRule>
  </conditionalFormatting>
  <conditionalFormatting sqref="K19">
    <cfRule type="cellIs" dxfId="17" priority="23" operator="equal">
      <formula>"NG"</formula>
    </cfRule>
    <cfRule type="cellIs" dxfId="16" priority="24" operator="equal">
      <formula>"OK"</formula>
    </cfRule>
  </conditionalFormatting>
  <conditionalFormatting sqref="K65">
    <cfRule type="cellIs" dxfId="15" priority="15" operator="equal">
      <formula>"NG"</formula>
    </cfRule>
    <cfRule type="cellIs" dxfId="14" priority="16" operator="equal">
      <formula>"OK"</formula>
    </cfRule>
  </conditionalFormatting>
  <conditionalFormatting sqref="K111">
    <cfRule type="cellIs" dxfId="13" priority="13" operator="equal">
      <formula>"NG"</formula>
    </cfRule>
    <cfRule type="cellIs" dxfId="12" priority="14" operator="equal">
      <formula>"OK"</formula>
    </cfRule>
  </conditionalFormatting>
  <conditionalFormatting sqref="K157">
    <cfRule type="cellIs" dxfId="11" priority="11" operator="equal">
      <formula>"NG"</formula>
    </cfRule>
    <cfRule type="cellIs" dxfId="10" priority="12" operator="equal">
      <formula>"OK"</formula>
    </cfRule>
  </conditionalFormatting>
  <conditionalFormatting sqref="K203">
    <cfRule type="cellIs" dxfId="9" priority="9" operator="equal">
      <formula>"NG"</formula>
    </cfRule>
    <cfRule type="cellIs" dxfId="8" priority="10" operator="equal">
      <formula>"OK"</formula>
    </cfRule>
  </conditionalFormatting>
  <conditionalFormatting sqref="K249">
    <cfRule type="cellIs" dxfId="7" priority="7" operator="equal">
      <formula>"NG"</formula>
    </cfRule>
    <cfRule type="cellIs" dxfId="6" priority="8" operator="equal">
      <formula>"OK"</formula>
    </cfRule>
  </conditionalFormatting>
  <conditionalFormatting sqref="L19">
    <cfRule type="expression" dxfId="5" priority="6">
      <formula>K19="NG"</formula>
    </cfRule>
  </conditionalFormatting>
  <conditionalFormatting sqref="L65">
    <cfRule type="expression" dxfId="4" priority="5">
      <formula>K65="NG"</formula>
    </cfRule>
  </conditionalFormatting>
  <conditionalFormatting sqref="L111">
    <cfRule type="expression" dxfId="3" priority="4">
      <formula>K111="NG"</formula>
    </cfRule>
  </conditionalFormatting>
  <conditionalFormatting sqref="L157">
    <cfRule type="expression" dxfId="2" priority="3">
      <formula>K157="NG"</formula>
    </cfRule>
  </conditionalFormatting>
  <conditionalFormatting sqref="L203">
    <cfRule type="expression" dxfId="1" priority="2">
      <formula>K203="NG"</formula>
    </cfRule>
  </conditionalFormatting>
  <conditionalFormatting sqref="L249">
    <cfRule type="expression" dxfId="0" priority="1">
      <formula>K249="NG"</formula>
    </cfRule>
  </conditionalFormatting>
  <dataValidations count="12">
    <dataValidation type="list" allowBlank="1" showInputMessage="1" showErrorMessage="1" sqref="D9 D57 D149 D195 D103 D11 D55 D101 D147 D193 D239 D241" xr:uid="{BD384CF5-01B3-4F14-88B4-5A4647EF2433}">
      <formula1>"なし,あり"</formula1>
    </dataValidation>
    <dataValidation type="list" allowBlank="1" showInputMessage="1" showErrorMessage="1" sqref="H250 H112 H158 H204 H66 H20" xr:uid="{386D60D3-67BB-453D-8A5E-BE6AC2A118D8}">
      <formula1>"ﾛｰﾀﾘｰﾊﾟｰｶｯｼｮﾝ二重管削孔方式，ｽｷｯﾄﾞ型削孔機55kW級,ﾛｰﾀﾘｰﾊﾟｰｶｯｼｮﾝ二重管削孔方式，ｸﾛｰﾗ型削孔機81kW級"</formula1>
    </dataValidation>
    <dataValidation type="list" allowBlank="1" showInputMessage="1" showErrorMessage="1" sqref="G146:G154 G192:G200 G8:G16 G238:G246 G100:G108 G54:G62" xr:uid="{68F85D2E-5C54-4F7D-9165-4057601F29DD}">
      <formula1>"非削孔,粘性土,砂質土,崩積土,礫質土,砂　礫,玉　石,軟　岩,中硬岩,硬　岩,特殊地盤,無設定"</formula1>
    </dataValidation>
    <dataValidation type="list" allowBlank="1" showInputMessage="1" showErrorMessage="1" sqref="D146 D8 D54 D100 D192 D238" xr:uid="{DDF90F3B-4985-4360-9F7C-E4AAD1E22C94}">
      <formula1>"防食Ⅰ,防食Ⅱ,防食Ⅲ"</formula1>
    </dataValidation>
    <dataValidation type="list" allowBlank="1" showInputMessage="1" showErrorMessage="1" sqref="D7 D53 D99 D145 D191 D237" xr:uid="{00381D15-931C-4730-B492-B195FA79A638}">
      <formula1>"　,除去J5-2,除去J5-4,除去J5-6,除去J5-8,除去J5-10,除去J5-12,除去J6-10,残置J5-2,残置J5-3,残置J5-4,残置J5-5,残置J5-6,残置J5-7,残置J5-8,残置J5-9,残置J5-10,残置J5-11,残置J5-12,残置J6-7,残置J6-8,残置J6-9,残置J6-10,残置J6-11,残置J6-12"</formula1>
    </dataValidation>
    <dataValidation type="list" allowBlank="1" showInputMessage="1" showErrorMessage="1" sqref="B9 B55 B101 B147 B193 B239" xr:uid="{54B793A4-D8F1-472E-9AEE-A8C1950B1793}">
      <formula1>"のり面角度台座,構造物壁面台座,土留め台座"</formula1>
    </dataValidation>
    <dataValidation type="list" allowBlank="1" showInputMessage="1" showErrorMessage="1" sqref="E194 E56 E10 E240 E102 E148" xr:uid="{3C1C52FD-B874-4DB6-9228-2349D09007D7}">
      <formula1>"　,H300,H350,H400"</formula1>
    </dataValidation>
    <dataValidation type="list" allowBlank="1" showInputMessage="1" showErrorMessage="1" sqref="D10 D56 D102 D148 D194 D240" xr:uid="{5F11B830-28C3-42B7-9CAA-CC77FAF9A815}">
      <formula1>"　,──,DA220,DA440,DA660,DA880,DA1100,DA1320,DA1560,DB270,DB400,DB530,DB660,DB790,DB920,DB1050,DB1180,DB1310,DB1440,DB1580,DB1680,DB1870,DB2060,DB2340"</formula1>
    </dataValidation>
    <dataValidation type="list" allowBlank="1" showInputMessage="1" showErrorMessage="1" sqref="H8 H238 H100 H146 H192 H54" xr:uid="{BBD3E7E7-70F7-4AD7-801E-E5F7EAE827B3}">
      <formula1>"　,壁面台座,受圧板,角度台座＋受圧板,のり枠□300,のり枠□400,のり枠□500,のり枠□600,角度台座＋のり枠□300,角度台座＋のり枠□400,角度台座＋のり枠□500,角度台座＋のり枠□600,角度台座＋のり枠□600,腹起し＋土留め台座"</formula1>
    </dataValidation>
    <dataValidation type="list" allowBlank="1" showInputMessage="1" showErrorMessage="1" sqref="B2 B186 B48 B94 B140 B232" xr:uid="{832439B6-5185-4FAF-808E-9FE1C333ABD4}">
      <formula1>"【短期仮設：KJS除去アンカー数量表・材料規格】,【長期仮設：KJS除去アンカー数量表・材料規格】,【短期仮設：KJS残置アンカー数量表・材料規格】"</formula1>
    </dataValidation>
    <dataValidation type="list" allowBlank="1" showInputMessage="1" showErrorMessage="1" sqref="E191 E53 E7 E237 E99 E145" xr:uid="{39A1AF8B-8D0D-4971-8923-7B6114878400}">
      <formula1>"　,窓なしキャップ,窓付キャップ"</formula1>
    </dataValidation>
    <dataValidation type="list" allowBlank="1" showInputMessage="1" showErrorMessage="1" sqref="E22 E68 E114 E160 E206 E252" xr:uid="{827E5879-2A3C-4D06-807A-393EC6AB30E6}">
      <formula1>"　,90,115,135,165"</formula1>
    </dataValidation>
  </dataValidations>
  <printOptions horizontalCentered="1"/>
  <pageMargins left="0.23622047244094491" right="0.23622047244094491" top="0.74803149606299213" bottom="0.74803149606299213" header="0.31496062992125984" footer="0.31496062992125984"/>
  <pageSetup paperSize="9" scale="92" orientation="landscape" r:id="rId1"/>
  <rowBreaks count="5" manualBreakCount="5">
    <brk id="46" max="10" man="1"/>
    <brk id="92" max="10" man="1"/>
    <brk id="138" max="10" man="1"/>
    <brk id="184" max="10" man="1"/>
    <brk id="23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EHD_HP-01</vt:lpstr>
      <vt:lpstr>EHD-01</vt:lpstr>
      <vt:lpstr>除去-01</vt:lpstr>
      <vt:lpstr>残置-01</vt:lpstr>
      <vt:lpstr>'EHD_HP-01'!Print_Area</vt:lpstr>
      <vt:lpstr>'EHD-01'!Print_Area</vt:lpstr>
      <vt:lpstr>'残置-01'!Print_Area</vt:lpstr>
      <vt:lpstr>'除去-01'!Print_Area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祐輝 野口</cp:lastModifiedBy>
  <cp:lastPrinted>2020-03-13T01:41:28Z</cp:lastPrinted>
  <dcterms:created xsi:type="dcterms:W3CDTF">2019-01-23T04:52:31Z</dcterms:created>
  <dcterms:modified xsi:type="dcterms:W3CDTF">2023-11-14T14:39:46Z</dcterms:modified>
</cp:coreProperties>
</file>